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Krycí list rozpočtu" sheetId="1" r:id="rId1"/>
    <sheet name="VORN" sheetId="2" state="hidden" r:id="rId2"/>
    <sheet name="Stavební rozpočet" sheetId="3" r:id="rId3"/>
  </sheets>
  <definedNames>
    <definedName name="vorn_sum">VORN!$I$45</definedName>
  </definedNames>
  <calcPr calcId="124519"/>
</workbook>
</file>

<file path=xl/calcChain.xml><?xml version="1.0" encoding="utf-8"?>
<calcChain xmlns="http://schemas.openxmlformats.org/spreadsheetml/2006/main">
  <c r="BR248" i="3"/>
  <c r="BJ248"/>
  <c r="BF248"/>
  <c r="BD248"/>
  <c r="AW248"/>
  <c r="AP248"/>
  <c r="BI248" s="1"/>
  <c r="AO248"/>
  <c r="BH248" s="1"/>
  <c r="AL248"/>
  <c r="AK248"/>
  <c r="AJ248"/>
  <c r="AH248"/>
  <c r="AG248"/>
  <c r="AF248"/>
  <c r="AE248"/>
  <c r="AD248"/>
  <c r="AC248"/>
  <c r="AB248"/>
  <c r="Z248"/>
  <c r="H248"/>
  <c r="AU247"/>
  <c r="AT247"/>
  <c r="AS247"/>
  <c r="H247"/>
  <c r="BO246"/>
  <c r="BJ246"/>
  <c r="BF246"/>
  <c r="BD246"/>
  <c r="AP246"/>
  <c r="BI246" s="1"/>
  <c r="AO246"/>
  <c r="AW246" s="1"/>
  <c r="AL246"/>
  <c r="AK246"/>
  <c r="AJ246"/>
  <c r="AH246"/>
  <c r="AG246"/>
  <c r="AF246"/>
  <c r="AE246"/>
  <c r="AD246"/>
  <c r="AC246"/>
  <c r="AB246"/>
  <c r="Z246"/>
  <c r="H246"/>
  <c r="AU245"/>
  <c r="AT245"/>
  <c r="AS245"/>
  <c r="H245"/>
  <c r="H244"/>
  <c r="BJ243"/>
  <c r="BF243"/>
  <c r="BD243"/>
  <c r="AW243"/>
  <c r="AP243"/>
  <c r="BI243" s="1"/>
  <c r="AG243" s="1"/>
  <c r="AO243"/>
  <c r="BH243" s="1"/>
  <c r="AF243" s="1"/>
  <c r="AL243"/>
  <c r="AK243"/>
  <c r="AJ243"/>
  <c r="AH243"/>
  <c r="AE243"/>
  <c r="AD243"/>
  <c r="AC243"/>
  <c r="AB243"/>
  <c r="Z243"/>
  <c r="H243"/>
  <c r="BJ242"/>
  <c r="BF242"/>
  <c r="BD242"/>
  <c r="AP242"/>
  <c r="AX242" s="1"/>
  <c r="AO242"/>
  <c r="BH242" s="1"/>
  <c r="AF242" s="1"/>
  <c r="AL242"/>
  <c r="AK242"/>
  <c r="AJ242"/>
  <c r="AH242"/>
  <c r="AE242"/>
  <c r="AD242"/>
  <c r="AC242"/>
  <c r="AB242"/>
  <c r="Z242"/>
  <c r="H242"/>
  <c r="BJ241"/>
  <c r="BF241"/>
  <c r="BD241"/>
  <c r="AX241"/>
  <c r="AP241"/>
  <c r="BI241" s="1"/>
  <c r="AG241" s="1"/>
  <c r="AO241"/>
  <c r="AW241" s="1"/>
  <c r="AL241"/>
  <c r="AJ241"/>
  <c r="AH241"/>
  <c r="AE241"/>
  <c r="AD241"/>
  <c r="AC241"/>
  <c r="AB241"/>
  <c r="Z241"/>
  <c r="H241"/>
  <c r="AK241" s="1"/>
  <c r="BJ240"/>
  <c r="BF240"/>
  <c r="BD240"/>
  <c r="AX240"/>
  <c r="AW240"/>
  <c r="AV240" s="1"/>
  <c r="AP240"/>
  <c r="BI240" s="1"/>
  <c r="AG240" s="1"/>
  <c r="AO240"/>
  <c r="BH240" s="1"/>
  <c r="AF240" s="1"/>
  <c r="AL240"/>
  <c r="AJ240"/>
  <c r="AH240"/>
  <c r="AE240"/>
  <c r="AD240"/>
  <c r="AC240"/>
  <c r="AB240"/>
  <c r="Z240"/>
  <c r="H240"/>
  <c r="AK240" s="1"/>
  <c r="AT238" s="1"/>
  <c r="BJ239"/>
  <c r="BF239"/>
  <c r="BD239"/>
  <c r="AX239"/>
  <c r="AW239"/>
  <c r="BC239" s="1"/>
  <c r="AV239"/>
  <c r="AP239"/>
  <c r="BI239" s="1"/>
  <c r="AG239" s="1"/>
  <c r="AO239"/>
  <c r="BH239" s="1"/>
  <c r="AF239" s="1"/>
  <c r="AL239"/>
  <c r="AK239"/>
  <c r="AJ239"/>
  <c r="AH239"/>
  <c r="AE239"/>
  <c r="AD239"/>
  <c r="AC239"/>
  <c r="AB239"/>
  <c r="Z239"/>
  <c r="H239"/>
  <c r="AU238"/>
  <c r="AS238"/>
  <c r="H238"/>
  <c r="BJ236"/>
  <c r="BF236"/>
  <c r="BD236"/>
  <c r="AW236"/>
  <c r="AP236"/>
  <c r="AX236" s="1"/>
  <c r="AO236"/>
  <c r="BH236" s="1"/>
  <c r="AD236" s="1"/>
  <c r="AL236"/>
  <c r="AK236"/>
  <c r="AJ236"/>
  <c r="AH236"/>
  <c r="AG236"/>
  <c r="AF236"/>
  <c r="AC236"/>
  <c r="AB236"/>
  <c r="Z236"/>
  <c r="H236"/>
  <c r="BJ235"/>
  <c r="BF235"/>
  <c r="BD235"/>
  <c r="AX235"/>
  <c r="AP235"/>
  <c r="BI235" s="1"/>
  <c r="AE235" s="1"/>
  <c r="AO235"/>
  <c r="AW235" s="1"/>
  <c r="AL235"/>
  <c r="AJ235"/>
  <c r="AH235"/>
  <c r="AG235"/>
  <c r="AF235"/>
  <c r="AC235"/>
  <c r="AB235"/>
  <c r="Z235"/>
  <c r="H235"/>
  <c r="AK235" s="1"/>
  <c r="BJ232"/>
  <c r="BF232"/>
  <c r="BD232"/>
  <c r="AX232"/>
  <c r="AP232"/>
  <c r="BI232" s="1"/>
  <c r="AE232" s="1"/>
  <c r="AO232"/>
  <c r="AW232" s="1"/>
  <c r="AL232"/>
  <c r="AJ232"/>
  <c r="AH232"/>
  <c r="AG232"/>
  <c r="AF232"/>
  <c r="AC232"/>
  <c r="AB232"/>
  <c r="Z232"/>
  <c r="H232"/>
  <c r="AK232" s="1"/>
  <c r="AT231" s="1"/>
  <c r="AU231"/>
  <c r="AS231"/>
  <c r="H231"/>
  <c r="BJ230"/>
  <c r="BF230"/>
  <c r="BD230"/>
  <c r="AX230"/>
  <c r="AW230"/>
  <c r="BC230" s="1"/>
  <c r="AV230"/>
  <c r="AP230"/>
  <c r="BI230" s="1"/>
  <c r="AE230" s="1"/>
  <c r="AO230"/>
  <c r="BH230" s="1"/>
  <c r="AD230" s="1"/>
  <c r="AL230"/>
  <c r="AK230"/>
  <c r="AJ230"/>
  <c r="AH230"/>
  <c r="AG230"/>
  <c r="AF230"/>
  <c r="AC230"/>
  <c r="AB230"/>
  <c r="Z230"/>
  <c r="H230"/>
  <c r="BJ229"/>
  <c r="BF229"/>
  <c r="BD229"/>
  <c r="AW229"/>
  <c r="AP229"/>
  <c r="AX229" s="1"/>
  <c r="AO229"/>
  <c r="BH229" s="1"/>
  <c r="AD229" s="1"/>
  <c r="AL229"/>
  <c r="AK229"/>
  <c r="AJ229"/>
  <c r="AH229"/>
  <c r="AG229"/>
  <c r="AF229"/>
  <c r="AC229"/>
  <c r="AB229"/>
  <c r="Z229"/>
  <c r="H229"/>
  <c r="BJ227"/>
  <c r="BF227"/>
  <c r="BD227"/>
  <c r="AP227"/>
  <c r="AX227" s="1"/>
  <c r="AO227"/>
  <c r="AW227" s="1"/>
  <c r="AL227"/>
  <c r="AJ227"/>
  <c r="AH227"/>
  <c r="AG227"/>
  <c r="AF227"/>
  <c r="AC227"/>
  <c r="AB227"/>
  <c r="Z227"/>
  <c r="H227"/>
  <c r="AK227" s="1"/>
  <c r="AT226" s="1"/>
  <c r="AU226"/>
  <c r="AS226"/>
  <c r="H226"/>
  <c r="BJ225"/>
  <c r="BF225"/>
  <c r="BD225"/>
  <c r="AX225"/>
  <c r="AP225"/>
  <c r="BI225" s="1"/>
  <c r="AO225"/>
  <c r="AW225" s="1"/>
  <c r="AL225"/>
  <c r="AJ225"/>
  <c r="AH225"/>
  <c r="AG225"/>
  <c r="AF225"/>
  <c r="AE225"/>
  <c r="AD225"/>
  <c r="AC225"/>
  <c r="AB225"/>
  <c r="Z225"/>
  <c r="H225"/>
  <c r="AK225" s="1"/>
  <c r="BJ223"/>
  <c r="BF223"/>
  <c r="BD223"/>
  <c r="AX223"/>
  <c r="AW223"/>
  <c r="BC223" s="1"/>
  <c r="AP223"/>
  <c r="BI223" s="1"/>
  <c r="AE223" s="1"/>
  <c r="AO223"/>
  <c r="BH223" s="1"/>
  <c r="AD223" s="1"/>
  <c r="AL223"/>
  <c r="AK223"/>
  <c r="AJ223"/>
  <c r="AH223"/>
  <c r="AG223"/>
  <c r="AF223"/>
  <c r="AC223"/>
  <c r="AB223"/>
  <c r="Z223"/>
  <c r="H223"/>
  <c r="BJ222"/>
  <c r="BF222"/>
  <c r="BD222"/>
  <c r="AW222"/>
  <c r="AP222"/>
  <c r="AX222" s="1"/>
  <c r="AO222"/>
  <c r="BH222" s="1"/>
  <c r="AD222" s="1"/>
  <c r="AL222"/>
  <c r="AK222"/>
  <c r="AJ222"/>
  <c r="AH222"/>
  <c r="AG222"/>
  <c r="AF222"/>
  <c r="AC222"/>
  <c r="AB222"/>
  <c r="Z222"/>
  <c r="H222"/>
  <c r="BJ220"/>
  <c r="BF220"/>
  <c r="BD220"/>
  <c r="AP220"/>
  <c r="AX220" s="1"/>
  <c r="AO220"/>
  <c r="AW220" s="1"/>
  <c r="AL220"/>
  <c r="AJ220"/>
  <c r="AH220"/>
  <c r="AG220"/>
  <c r="AF220"/>
  <c r="AC220"/>
  <c r="AB220"/>
  <c r="Z220"/>
  <c r="H220"/>
  <c r="AK220" s="1"/>
  <c r="BJ216"/>
  <c r="BF216"/>
  <c r="BD216"/>
  <c r="AX216"/>
  <c r="AP216"/>
  <c r="BI216" s="1"/>
  <c r="AE216" s="1"/>
  <c r="AO216"/>
  <c r="AW216" s="1"/>
  <c r="AL216"/>
  <c r="AJ216"/>
  <c r="AH216"/>
  <c r="AG216"/>
  <c r="AF216"/>
  <c r="AC216"/>
  <c r="AB216"/>
  <c r="Z216"/>
  <c r="H216"/>
  <c r="AK216" s="1"/>
  <c r="AU215"/>
  <c r="AS215"/>
  <c r="H215"/>
  <c r="BJ214"/>
  <c r="Z214" s="1"/>
  <c r="BF214"/>
  <c r="BD214"/>
  <c r="AX214"/>
  <c r="AW214"/>
  <c r="BC214" s="1"/>
  <c r="AP214"/>
  <c r="BI214" s="1"/>
  <c r="AO214"/>
  <c r="BH214" s="1"/>
  <c r="AL214"/>
  <c r="AK214"/>
  <c r="AJ214"/>
  <c r="AH214"/>
  <c r="AG214"/>
  <c r="AF214"/>
  <c r="AE214"/>
  <c r="AD214"/>
  <c r="AC214"/>
  <c r="AB214"/>
  <c r="H214"/>
  <c r="BJ213"/>
  <c r="BF213"/>
  <c r="BD213"/>
  <c r="AW213"/>
  <c r="AP213"/>
  <c r="AX213" s="1"/>
  <c r="AO213"/>
  <c r="BH213" s="1"/>
  <c r="AD213" s="1"/>
  <c r="AL213"/>
  <c r="AK213"/>
  <c r="AJ213"/>
  <c r="AH213"/>
  <c r="AG213"/>
  <c r="AF213"/>
  <c r="AC213"/>
  <c r="AB213"/>
  <c r="Z213"/>
  <c r="H213"/>
  <c r="BJ212"/>
  <c r="BF212"/>
  <c r="BD212"/>
  <c r="AP212"/>
  <c r="AX212" s="1"/>
  <c r="AO212"/>
  <c r="AW212" s="1"/>
  <c r="AL212"/>
  <c r="AJ212"/>
  <c r="AH212"/>
  <c r="AG212"/>
  <c r="AF212"/>
  <c r="AC212"/>
  <c r="AB212"/>
  <c r="Z212"/>
  <c r="H212"/>
  <c r="AK212" s="1"/>
  <c r="AT211" s="1"/>
  <c r="AU211"/>
  <c r="AS211"/>
  <c r="H211"/>
  <c r="BJ210"/>
  <c r="BF210"/>
  <c r="BD210"/>
  <c r="AX210"/>
  <c r="AP210"/>
  <c r="BI210" s="1"/>
  <c r="AO210"/>
  <c r="AW210" s="1"/>
  <c r="AL210"/>
  <c r="AJ210"/>
  <c r="AH210"/>
  <c r="AG210"/>
  <c r="AF210"/>
  <c r="AE210"/>
  <c r="AD210"/>
  <c r="AC210"/>
  <c r="AB210"/>
  <c r="Z210"/>
  <c r="H210"/>
  <c r="AK210" s="1"/>
  <c r="BJ208"/>
  <c r="BF208"/>
  <c r="BD208"/>
  <c r="AX208"/>
  <c r="AW208"/>
  <c r="BC208" s="1"/>
  <c r="AP208"/>
  <c r="BI208" s="1"/>
  <c r="AE208" s="1"/>
  <c r="AO208"/>
  <c r="BH208" s="1"/>
  <c r="AD208" s="1"/>
  <c r="AL208"/>
  <c r="AJ208"/>
  <c r="AH208"/>
  <c r="AG208"/>
  <c r="AF208"/>
  <c r="AC208"/>
  <c r="AB208"/>
  <c r="Z208"/>
  <c r="H208"/>
  <c r="AK208" s="1"/>
  <c r="BJ207"/>
  <c r="BF207"/>
  <c r="BD207"/>
  <c r="AW207"/>
  <c r="AP207"/>
  <c r="AX207" s="1"/>
  <c r="AV207" s="1"/>
  <c r="AO207"/>
  <c r="BH207" s="1"/>
  <c r="AD207" s="1"/>
  <c r="AL207"/>
  <c r="AK207"/>
  <c r="AJ207"/>
  <c r="AH207"/>
  <c r="AG207"/>
  <c r="AF207"/>
  <c r="AC207"/>
  <c r="AB207"/>
  <c r="Z207"/>
  <c r="H207"/>
  <c r="BJ206"/>
  <c r="BF206"/>
  <c r="BD206"/>
  <c r="AP206"/>
  <c r="AX206" s="1"/>
  <c r="AO206"/>
  <c r="AW206" s="1"/>
  <c r="AL206"/>
  <c r="AJ206"/>
  <c r="AH206"/>
  <c r="AG206"/>
  <c r="AF206"/>
  <c r="AC206"/>
  <c r="AB206"/>
  <c r="Z206"/>
  <c r="H206"/>
  <c r="AK206" s="1"/>
  <c r="BJ204"/>
  <c r="BF204"/>
  <c r="BD204"/>
  <c r="AX204"/>
  <c r="AP204"/>
  <c r="BI204" s="1"/>
  <c r="AE204" s="1"/>
  <c r="AO204"/>
  <c r="AW204" s="1"/>
  <c r="AL204"/>
  <c r="AJ204"/>
  <c r="AH204"/>
  <c r="AG204"/>
  <c r="AF204"/>
  <c r="AC204"/>
  <c r="AB204"/>
  <c r="Z204"/>
  <c r="H204"/>
  <c r="AK204" s="1"/>
  <c r="BJ202"/>
  <c r="BF202"/>
  <c r="BD202"/>
  <c r="AX202"/>
  <c r="AW202"/>
  <c r="BC202" s="1"/>
  <c r="AP202"/>
  <c r="BI202" s="1"/>
  <c r="AE202" s="1"/>
  <c r="AO202"/>
  <c r="BH202" s="1"/>
  <c r="AD202" s="1"/>
  <c r="AL202"/>
  <c r="AJ202"/>
  <c r="AH202"/>
  <c r="AG202"/>
  <c r="AF202"/>
  <c r="AC202"/>
  <c r="AB202"/>
  <c r="Z202"/>
  <c r="H202"/>
  <c r="AK202" s="1"/>
  <c r="BJ197"/>
  <c r="BF197"/>
  <c r="BD197"/>
  <c r="AW197"/>
  <c r="AP197"/>
  <c r="AX197" s="1"/>
  <c r="AV197" s="1"/>
  <c r="AO197"/>
  <c r="BH197" s="1"/>
  <c r="AD197" s="1"/>
  <c r="AL197"/>
  <c r="AK197"/>
  <c r="AJ197"/>
  <c r="AH197"/>
  <c r="AG197"/>
  <c r="AF197"/>
  <c r="AC197"/>
  <c r="AB197"/>
  <c r="Z197"/>
  <c r="H197"/>
  <c r="AU196"/>
  <c r="AS196"/>
  <c r="H196"/>
  <c r="BJ195"/>
  <c r="BF195"/>
  <c r="BD195"/>
  <c r="AP195"/>
  <c r="AX195" s="1"/>
  <c r="AO195"/>
  <c r="AW195" s="1"/>
  <c r="AL195"/>
  <c r="AK195"/>
  <c r="AJ195"/>
  <c r="AH195"/>
  <c r="AG195"/>
  <c r="AF195"/>
  <c r="AE195"/>
  <c r="AD195"/>
  <c r="AC195"/>
  <c r="AB195"/>
  <c r="Z195"/>
  <c r="H195"/>
  <c r="BJ193"/>
  <c r="BF193"/>
  <c r="BD193"/>
  <c r="AP193"/>
  <c r="AX193" s="1"/>
  <c r="AO193"/>
  <c r="AW193" s="1"/>
  <c r="AL193"/>
  <c r="AJ193"/>
  <c r="AH193"/>
  <c r="AG193"/>
  <c r="AF193"/>
  <c r="AC193"/>
  <c r="AB193"/>
  <c r="Z193"/>
  <c r="H193"/>
  <c r="AK193" s="1"/>
  <c r="BJ192"/>
  <c r="BF192"/>
  <c r="BD192"/>
  <c r="AX192"/>
  <c r="AP192"/>
  <c r="BI192" s="1"/>
  <c r="AE192" s="1"/>
  <c r="AO192"/>
  <c r="AW192" s="1"/>
  <c r="AL192"/>
  <c r="AJ192"/>
  <c r="AH192"/>
  <c r="AG192"/>
  <c r="AF192"/>
  <c r="AC192"/>
  <c r="AB192"/>
  <c r="Z192"/>
  <c r="H192"/>
  <c r="AK192" s="1"/>
  <c r="BJ188"/>
  <c r="BF188"/>
  <c r="BD188"/>
  <c r="AW188"/>
  <c r="BC188" s="1"/>
  <c r="AP188"/>
  <c r="AX188" s="1"/>
  <c r="AO188"/>
  <c r="BH188" s="1"/>
  <c r="AD188" s="1"/>
  <c r="AL188"/>
  <c r="AK188"/>
  <c r="AJ188"/>
  <c r="AH188"/>
  <c r="AG188"/>
  <c r="AF188"/>
  <c r="AC188"/>
  <c r="AB188"/>
  <c r="Z188"/>
  <c r="H188"/>
  <c r="BJ185"/>
  <c r="BF185"/>
  <c r="BD185"/>
  <c r="AP185"/>
  <c r="AX185" s="1"/>
  <c r="AO185"/>
  <c r="AW185" s="1"/>
  <c r="AL185"/>
  <c r="AK185"/>
  <c r="AJ185"/>
  <c r="AH185"/>
  <c r="AG185"/>
  <c r="AF185"/>
  <c r="AC185"/>
  <c r="AB185"/>
  <c r="Z185"/>
  <c r="H185"/>
  <c r="BJ184"/>
  <c r="BF184"/>
  <c r="BD184"/>
  <c r="AP184"/>
  <c r="AX184" s="1"/>
  <c r="AO184"/>
  <c r="AW184" s="1"/>
  <c r="AL184"/>
  <c r="AJ184"/>
  <c r="AH184"/>
  <c r="AG184"/>
  <c r="AF184"/>
  <c r="AC184"/>
  <c r="AB184"/>
  <c r="Z184"/>
  <c r="H184"/>
  <c r="AK184" s="1"/>
  <c r="AU183"/>
  <c r="AS183"/>
  <c r="H183"/>
  <c r="BJ182"/>
  <c r="BF182"/>
  <c r="BD182"/>
  <c r="AP182"/>
  <c r="BI182" s="1"/>
  <c r="AO182"/>
  <c r="AW182" s="1"/>
  <c r="AL182"/>
  <c r="AJ182"/>
  <c r="AH182"/>
  <c r="AG182"/>
  <c r="AF182"/>
  <c r="AE182"/>
  <c r="AD182"/>
  <c r="AC182"/>
  <c r="AB182"/>
  <c r="Z182"/>
  <c r="H182"/>
  <c r="AK182" s="1"/>
  <c r="BJ181"/>
  <c r="BF181"/>
  <c r="BD181"/>
  <c r="AP181"/>
  <c r="AX181" s="1"/>
  <c r="AO181"/>
  <c r="BH181" s="1"/>
  <c r="AD181" s="1"/>
  <c r="AL181"/>
  <c r="AJ181"/>
  <c r="AH181"/>
  <c r="AG181"/>
  <c r="AF181"/>
  <c r="AC181"/>
  <c r="AB181"/>
  <c r="Z181"/>
  <c r="H181"/>
  <c r="AK181" s="1"/>
  <c r="BJ180"/>
  <c r="BF180"/>
  <c r="BD180"/>
  <c r="AP180"/>
  <c r="AX180" s="1"/>
  <c r="AO180"/>
  <c r="AW180" s="1"/>
  <c r="AL180"/>
  <c r="AJ180"/>
  <c r="AH180"/>
  <c r="AG180"/>
  <c r="AF180"/>
  <c r="AC180"/>
  <c r="AB180"/>
  <c r="Z180"/>
  <c r="H180"/>
  <c r="AK180" s="1"/>
  <c r="BJ179"/>
  <c r="BF179"/>
  <c r="BD179"/>
  <c r="AP179"/>
  <c r="AX179" s="1"/>
  <c r="AO179"/>
  <c r="AW179" s="1"/>
  <c r="AL179"/>
  <c r="AJ179"/>
  <c r="AH179"/>
  <c r="AG179"/>
  <c r="AF179"/>
  <c r="AC179"/>
  <c r="AB179"/>
  <c r="Z179"/>
  <c r="H179"/>
  <c r="AK179" s="1"/>
  <c r="BJ178"/>
  <c r="BF178"/>
  <c r="BD178"/>
  <c r="AW178"/>
  <c r="AP178"/>
  <c r="BI178" s="1"/>
  <c r="AE178" s="1"/>
  <c r="AO178"/>
  <c r="BH178" s="1"/>
  <c r="AD178" s="1"/>
  <c r="AL178"/>
  <c r="AJ178"/>
  <c r="AH178"/>
  <c r="AG178"/>
  <c r="AF178"/>
  <c r="AC178"/>
  <c r="AB178"/>
  <c r="Z178"/>
  <c r="H178"/>
  <c r="AK178" s="1"/>
  <c r="BJ177"/>
  <c r="BF177"/>
  <c r="BD177"/>
  <c r="AW177"/>
  <c r="AP177"/>
  <c r="AX177" s="1"/>
  <c r="AV177" s="1"/>
  <c r="AO177"/>
  <c r="BH177" s="1"/>
  <c r="AD177" s="1"/>
  <c r="AL177"/>
  <c r="AJ177"/>
  <c r="AH177"/>
  <c r="AG177"/>
  <c r="AF177"/>
  <c r="AC177"/>
  <c r="AB177"/>
  <c r="Z177"/>
  <c r="H177"/>
  <c r="AK177" s="1"/>
  <c r="BJ176"/>
  <c r="BF176"/>
  <c r="BD176"/>
  <c r="AP176"/>
  <c r="AX176" s="1"/>
  <c r="AO176"/>
  <c r="AW176" s="1"/>
  <c r="AL176"/>
  <c r="AJ176"/>
  <c r="AH176"/>
  <c r="AG176"/>
  <c r="AF176"/>
  <c r="AC176"/>
  <c r="AB176"/>
  <c r="Z176"/>
  <c r="H176"/>
  <c r="AK176" s="1"/>
  <c r="BJ175"/>
  <c r="BF175"/>
  <c r="BD175"/>
  <c r="AP175"/>
  <c r="AX175" s="1"/>
  <c r="AO175"/>
  <c r="AW175" s="1"/>
  <c r="AL175"/>
  <c r="AJ175"/>
  <c r="AH175"/>
  <c r="AG175"/>
  <c r="AF175"/>
  <c r="AC175"/>
  <c r="AB175"/>
  <c r="Z175"/>
  <c r="H175"/>
  <c r="AK175" s="1"/>
  <c r="BJ174"/>
  <c r="BF174"/>
  <c r="BD174"/>
  <c r="AX174"/>
  <c r="AP174"/>
  <c r="BI174" s="1"/>
  <c r="AE174" s="1"/>
  <c r="AO174"/>
  <c r="AW174" s="1"/>
  <c r="AL174"/>
  <c r="AJ174"/>
  <c r="AH174"/>
  <c r="AG174"/>
  <c r="AF174"/>
  <c r="AC174"/>
  <c r="AB174"/>
  <c r="Z174"/>
  <c r="H174"/>
  <c r="AK174" s="1"/>
  <c r="BJ173"/>
  <c r="BF173"/>
  <c r="BD173"/>
  <c r="AW173"/>
  <c r="AP173"/>
  <c r="AX173" s="1"/>
  <c r="AO173"/>
  <c r="BH173" s="1"/>
  <c r="AD173" s="1"/>
  <c r="AL173"/>
  <c r="AJ173"/>
  <c r="AH173"/>
  <c r="AG173"/>
  <c r="AF173"/>
  <c r="AC173"/>
  <c r="AB173"/>
  <c r="Z173"/>
  <c r="H173"/>
  <c r="AK173" s="1"/>
  <c r="BJ172"/>
  <c r="BF172"/>
  <c r="BD172"/>
  <c r="AP172"/>
  <c r="AX172" s="1"/>
  <c r="AO172"/>
  <c r="AW172" s="1"/>
  <c r="AL172"/>
  <c r="AJ172"/>
  <c r="AH172"/>
  <c r="AG172"/>
  <c r="AF172"/>
  <c r="AC172"/>
  <c r="AB172"/>
  <c r="Z172"/>
  <c r="H172"/>
  <c r="AK172" s="1"/>
  <c r="BJ171"/>
  <c r="BF171"/>
  <c r="BD171"/>
  <c r="AP171"/>
  <c r="AX171" s="1"/>
  <c r="AO171"/>
  <c r="AW171" s="1"/>
  <c r="AL171"/>
  <c r="AJ171"/>
  <c r="AH171"/>
  <c r="AG171"/>
  <c r="AF171"/>
  <c r="AC171"/>
  <c r="AB171"/>
  <c r="Z171"/>
  <c r="H171"/>
  <c r="AK171" s="1"/>
  <c r="BJ170"/>
  <c r="BF170"/>
  <c r="BD170"/>
  <c r="AX170"/>
  <c r="AP170"/>
  <c r="BI170" s="1"/>
  <c r="AE170" s="1"/>
  <c r="AO170"/>
  <c r="AW170" s="1"/>
  <c r="AL170"/>
  <c r="AJ170"/>
  <c r="AH170"/>
  <c r="AG170"/>
  <c r="AF170"/>
  <c r="AC170"/>
  <c r="AB170"/>
  <c r="Z170"/>
  <c r="H170"/>
  <c r="AK170" s="1"/>
  <c r="BJ169"/>
  <c r="BF169"/>
  <c r="BD169"/>
  <c r="AW169"/>
  <c r="BC169" s="1"/>
  <c r="AP169"/>
  <c r="AX169" s="1"/>
  <c r="AO169"/>
  <c r="BH169" s="1"/>
  <c r="AD169" s="1"/>
  <c r="AL169"/>
  <c r="AJ169"/>
  <c r="AH169"/>
  <c r="AG169"/>
  <c r="AF169"/>
  <c r="AC169"/>
  <c r="AB169"/>
  <c r="Z169"/>
  <c r="H169"/>
  <c r="AK169" s="1"/>
  <c r="AT166" s="1"/>
  <c r="BJ167"/>
  <c r="BF167"/>
  <c r="BD167"/>
  <c r="AP167"/>
  <c r="AX167" s="1"/>
  <c r="AO167"/>
  <c r="AW167" s="1"/>
  <c r="AL167"/>
  <c r="AK167"/>
  <c r="AJ167"/>
  <c r="AH167"/>
  <c r="AG167"/>
  <c r="AF167"/>
  <c r="AC167"/>
  <c r="AB167"/>
  <c r="Z167"/>
  <c r="H167"/>
  <c r="AU166"/>
  <c r="AS166"/>
  <c r="H166"/>
  <c r="BJ165"/>
  <c r="BF165"/>
  <c r="BD165"/>
  <c r="AP165"/>
  <c r="AX165" s="1"/>
  <c r="AO165"/>
  <c r="AW165" s="1"/>
  <c r="AL165"/>
  <c r="AJ165"/>
  <c r="AH165"/>
  <c r="AG165"/>
  <c r="AF165"/>
  <c r="AC165"/>
  <c r="AB165"/>
  <c r="Z165"/>
  <c r="H165"/>
  <c r="AK165" s="1"/>
  <c r="AT164" s="1"/>
  <c r="AU164"/>
  <c r="AS164"/>
  <c r="H164"/>
  <c r="BJ163"/>
  <c r="BF163"/>
  <c r="BD163"/>
  <c r="AX163"/>
  <c r="AP163"/>
  <c r="BI163" s="1"/>
  <c r="AE163" s="1"/>
  <c r="AO163"/>
  <c r="AW163" s="1"/>
  <c r="AL163"/>
  <c r="AJ163"/>
  <c r="AH163"/>
  <c r="AG163"/>
  <c r="AF163"/>
  <c r="AC163"/>
  <c r="AB163"/>
  <c r="Z163"/>
  <c r="H163"/>
  <c r="AK163" s="1"/>
  <c r="AT160" s="1"/>
  <c r="BJ162"/>
  <c r="BF162"/>
  <c r="BD162"/>
  <c r="AW162"/>
  <c r="AP162"/>
  <c r="AX162" s="1"/>
  <c r="AO162"/>
  <c r="BH162" s="1"/>
  <c r="AD162" s="1"/>
  <c r="AL162"/>
  <c r="AU160" s="1"/>
  <c r="AK162"/>
  <c r="AJ162"/>
  <c r="AH162"/>
  <c r="AG162"/>
  <c r="AF162"/>
  <c r="AC162"/>
  <c r="AB162"/>
  <c r="Z162"/>
  <c r="H162"/>
  <c r="BJ161"/>
  <c r="BF161"/>
  <c r="BD161"/>
  <c r="AP161"/>
  <c r="AX161" s="1"/>
  <c r="AO161"/>
  <c r="AW161" s="1"/>
  <c r="AL161"/>
  <c r="AK161"/>
  <c r="AJ161"/>
  <c r="AH161"/>
  <c r="AG161"/>
  <c r="AF161"/>
  <c r="AC161"/>
  <c r="AB161"/>
  <c r="Z161"/>
  <c r="H161"/>
  <c r="AS160"/>
  <c r="H160"/>
  <c r="BJ159"/>
  <c r="BF159"/>
  <c r="BD159"/>
  <c r="AP159"/>
  <c r="AX159" s="1"/>
  <c r="AO159"/>
  <c r="AW159" s="1"/>
  <c r="AL159"/>
  <c r="AJ159"/>
  <c r="AH159"/>
  <c r="AG159"/>
  <c r="AF159"/>
  <c r="AC159"/>
  <c r="AB159"/>
  <c r="Z159"/>
  <c r="H159"/>
  <c r="AK159" s="1"/>
  <c r="BJ158"/>
  <c r="BF158"/>
  <c r="BD158"/>
  <c r="AX158"/>
  <c r="AP158"/>
  <c r="BI158" s="1"/>
  <c r="AE158" s="1"/>
  <c r="AO158"/>
  <c r="AW158" s="1"/>
  <c r="AL158"/>
  <c r="AJ158"/>
  <c r="AH158"/>
  <c r="AG158"/>
  <c r="AF158"/>
  <c r="AC158"/>
  <c r="AB158"/>
  <c r="Z158"/>
  <c r="H158"/>
  <c r="AK158" s="1"/>
  <c r="BJ157"/>
  <c r="BF157"/>
  <c r="BD157"/>
  <c r="AW157"/>
  <c r="BC157" s="1"/>
  <c r="AP157"/>
  <c r="AX157" s="1"/>
  <c r="AO157"/>
  <c r="BH157" s="1"/>
  <c r="AD157" s="1"/>
  <c r="AL157"/>
  <c r="AK157"/>
  <c r="AJ157"/>
  <c r="AH157"/>
  <c r="AG157"/>
  <c r="AF157"/>
  <c r="AC157"/>
  <c r="AB157"/>
  <c r="Z157"/>
  <c r="H157"/>
  <c r="BJ156"/>
  <c r="BF156"/>
  <c r="BD156"/>
  <c r="AP156"/>
  <c r="AX156" s="1"/>
  <c r="AO156"/>
  <c r="AW156" s="1"/>
  <c r="AL156"/>
  <c r="AK156"/>
  <c r="AJ156"/>
  <c r="AH156"/>
  <c r="AG156"/>
  <c r="AF156"/>
  <c r="AC156"/>
  <c r="AB156"/>
  <c r="Z156"/>
  <c r="H156"/>
  <c r="BJ155"/>
  <c r="BF155"/>
  <c r="BD155"/>
  <c r="AP155"/>
  <c r="AX155" s="1"/>
  <c r="AO155"/>
  <c r="AW155" s="1"/>
  <c r="AL155"/>
  <c r="AJ155"/>
  <c r="AH155"/>
  <c r="AG155"/>
  <c r="AF155"/>
  <c r="AC155"/>
  <c r="AB155"/>
  <c r="Z155"/>
  <c r="H155"/>
  <c r="AK155" s="1"/>
  <c r="BJ154"/>
  <c r="BF154"/>
  <c r="BD154"/>
  <c r="AX154"/>
  <c r="AP154"/>
  <c r="BI154" s="1"/>
  <c r="AE154" s="1"/>
  <c r="AO154"/>
  <c r="AW154" s="1"/>
  <c r="AL154"/>
  <c r="AJ154"/>
  <c r="AH154"/>
  <c r="AG154"/>
  <c r="AF154"/>
  <c r="AC154"/>
  <c r="AB154"/>
  <c r="Z154"/>
  <c r="H154"/>
  <c r="AK154" s="1"/>
  <c r="BJ153"/>
  <c r="BF153"/>
  <c r="BD153"/>
  <c r="AW153"/>
  <c r="BC153" s="1"/>
  <c r="AP153"/>
  <c r="AX153" s="1"/>
  <c r="AO153"/>
  <c r="BH153" s="1"/>
  <c r="AD153" s="1"/>
  <c r="AL153"/>
  <c r="AK153"/>
  <c r="AJ153"/>
  <c r="AH153"/>
  <c r="AG153"/>
  <c r="AF153"/>
  <c r="AC153"/>
  <c r="AB153"/>
  <c r="Z153"/>
  <c r="H153"/>
  <c r="BJ152"/>
  <c r="BF152"/>
  <c r="BD152"/>
  <c r="AP152"/>
  <c r="AX152" s="1"/>
  <c r="AO152"/>
  <c r="AW152" s="1"/>
  <c r="AL152"/>
  <c r="AK152"/>
  <c r="AJ152"/>
  <c r="AH152"/>
  <c r="AG152"/>
  <c r="AF152"/>
  <c r="AC152"/>
  <c r="AB152"/>
  <c r="Z152"/>
  <c r="H152"/>
  <c r="BJ151"/>
  <c r="BF151"/>
  <c r="BD151"/>
  <c r="AP151"/>
  <c r="AX151" s="1"/>
  <c r="AO151"/>
  <c r="AW151" s="1"/>
  <c r="AL151"/>
  <c r="AJ151"/>
  <c r="AH151"/>
  <c r="AG151"/>
  <c r="AF151"/>
  <c r="AC151"/>
  <c r="AB151"/>
  <c r="Z151"/>
  <c r="H151"/>
  <c r="AK151" s="1"/>
  <c r="BJ150"/>
  <c r="BF150"/>
  <c r="BD150"/>
  <c r="AX150"/>
  <c r="AP150"/>
  <c r="BI150" s="1"/>
  <c r="AE150" s="1"/>
  <c r="AO150"/>
  <c r="AW150" s="1"/>
  <c r="AL150"/>
  <c r="AJ150"/>
  <c r="AH150"/>
  <c r="AG150"/>
  <c r="AF150"/>
  <c r="AC150"/>
  <c r="AB150"/>
  <c r="Z150"/>
  <c r="H150"/>
  <c r="AK150" s="1"/>
  <c r="BJ148"/>
  <c r="BF148"/>
  <c r="BD148"/>
  <c r="AW148"/>
  <c r="BC148" s="1"/>
  <c r="AP148"/>
  <c r="AX148" s="1"/>
  <c r="AO148"/>
  <c r="BH148" s="1"/>
  <c r="AD148" s="1"/>
  <c r="AL148"/>
  <c r="AK148"/>
  <c r="AJ148"/>
  <c r="AH148"/>
  <c r="AG148"/>
  <c r="AF148"/>
  <c r="AC148"/>
  <c r="AB148"/>
  <c r="Z148"/>
  <c r="H148"/>
  <c r="BJ147"/>
  <c r="BF147"/>
  <c r="BD147"/>
  <c r="AP147"/>
  <c r="AX147" s="1"/>
  <c r="AO147"/>
  <c r="AW147" s="1"/>
  <c r="AL147"/>
  <c r="AK147"/>
  <c r="AJ147"/>
  <c r="AH147"/>
  <c r="AG147"/>
  <c r="AF147"/>
  <c r="AC147"/>
  <c r="AB147"/>
  <c r="Z147"/>
  <c r="H147"/>
  <c r="BJ146"/>
  <c r="BF146"/>
  <c r="BD146"/>
  <c r="AP146"/>
  <c r="AX146" s="1"/>
  <c r="AO146"/>
  <c r="AW146" s="1"/>
  <c r="AL146"/>
  <c r="AJ146"/>
  <c r="AH146"/>
  <c r="AG146"/>
  <c r="AF146"/>
  <c r="AC146"/>
  <c r="AB146"/>
  <c r="Z146"/>
  <c r="H146"/>
  <c r="AK146" s="1"/>
  <c r="BJ145"/>
  <c r="BF145"/>
  <c r="BD145"/>
  <c r="AX145"/>
  <c r="AP145"/>
  <c r="BI145" s="1"/>
  <c r="AE145" s="1"/>
  <c r="AO145"/>
  <c r="AW145" s="1"/>
  <c r="AL145"/>
  <c r="AJ145"/>
  <c r="AH145"/>
  <c r="AG145"/>
  <c r="AF145"/>
  <c r="AC145"/>
  <c r="AB145"/>
  <c r="Z145"/>
  <c r="H145"/>
  <c r="AK145" s="1"/>
  <c r="BJ144"/>
  <c r="BF144"/>
  <c r="BD144"/>
  <c r="AW144"/>
  <c r="BC144" s="1"/>
  <c r="AP144"/>
  <c r="AX144" s="1"/>
  <c r="AO144"/>
  <c r="BH144" s="1"/>
  <c r="AD144" s="1"/>
  <c r="AL144"/>
  <c r="AJ144"/>
  <c r="AH144"/>
  <c r="AG144"/>
  <c r="AF144"/>
  <c r="AC144"/>
  <c r="AB144"/>
  <c r="Z144"/>
  <c r="H144"/>
  <c r="AK144" s="1"/>
  <c r="BJ143"/>
  <c r="BF143"/>
  <c r="BD143"/>
  <c r="AP143"/>
  <c r="AX143" s="1"/>
  <c r="AO143"/>
  <c r="AW143" s="1"/>
  <c r="AL143"/>
  <c r="AK143"/>
  <c r="AJ143"/>
  <c r="AH143"/>
  <c r="AG143"/>
  <c r="AF143"/>
  <c r="AC143"/>
  <c r="AB143"/>
  <c r="Z143"/>
  <c r="H143"/>
  <c r="BJ142"/>
  <c r="BF142"/>
  <c r="BD142"/>
  <c r="AP142"/>
  <c r="AX142" s="1"/>
  <c r="AO142"/>
  <c r="AW142" s="1"/>
  <c r="AL142"/>
  <c r="AJ142"/>
  <c r="AH142"/>
  <c r="AG142"/>
  <c r="AF142"/>
  <c r="AC142"/>
  <c r="AB142"/>
  <c r="Z142"/>
  <c r="H142"/>
  <c r="AK142" s="1"/>
  <c r="AT141" s="1"/>
  <c r="AU141"/>
  <c r="AS141"/>
  <c r="H141"/>
  <c r="BJ140"/>
  <c r="BF140"/>
  <c r="BD140"/>
  <c r="AX140"/>
  <c r="AP140"/>
  <c r="BI140" s="1"/>
  <c r="AO140"/>
  <c r="AW140" s="1"/>
  <c r="AL140"/>
  <c r="AJ140"/>
  <c r="AH140"/>
  <c r="AG140"/>
  <c r="AF140"/>
  <c r="AE140"/>
  <c r="AD140"/>
  <c r="AC140"/>
  <c r="AB140"/>
  <c r="Z140"/>
  <c r="H140"/>
  <c r="AK140" s="1"/>
  <c r="BJ139"/>
  <c r="BF139"/>
  <c r="BD139"/>
  <c r="AW139"/>
  <c r="BC139" s="1"/>
  <c r="AP139"/>
  <c r="AX139" s="1"/>
  <c r="AO139"/>
  <c r="BH139" s="1"/>
  <c r="AD139" s="1"/>
  <c r="AL139"/>
  <c r="AJ139"/>
  <c r="AH139"/>
  <c r="AG139"/>
  <c r="AF139"/>
  <c r="AC139"/>
  <c r="AB139"/>
  <c r="Z139"/>
  <c r="H139"/>
  <c r="AK139" s="1"/>
  <c r="BJ138"/>
  <c r="BF138"/>
  <c r="BD138"/>
  <c r="AP138"/>
  <c r="AX138" s="1"/>
  <c r="AO138"/>
  <c r="AW138" s="1"/>
  <c r="AL138"/>
  <c r="AK138"/>
  <c r="AJ138"/>
  <c r="AH138"/>
  <c r="AG138"/>
  <c r="AF138"/>
  <c r="AC138"/>
  <c r="AB138"/>
  <c r="Z138"/>
  <c r="H138"/>
  <c r="BJ137"/>
  <c r="BF137"/>
  <c r="BD137"/>
  <c r="AP137"/>
  <c r="AX137" s="1"/>
  <c r="AO137"/>
  <c r="AW137" s="1"/>
  <c r="AL137"/>
  <c r="AJ137"/>
  <c r="AH137"/>
  <c r="AG137"/>
  <c r="AF137"/>
  <c r="AC137"/>
  <c r="AB137"/>
  <c r="Z137"/>
  <c r="H137"/>
  <c r="AK137" s="1"/>
  <c r="BJ135"/>
  <c r="BF135"/>
  <c r="BD135"/>
  <c r="AX135"/>
  <c r="AP135"/>
  <c r="BI135" s="1"/>
  <c r="AE135" s="1"/>
  <c r="AO135"/>
  <c r="AW135" s="1"/>
  <c r="AL135"/>
  <c r="AJ135"/>
  <c r="AH135"/>
  <c r="AG135"/>
  <c r="AF135"/>
  <c r="AC135"/>
  <c r="AB135"/>
  <c r="Z135"/>
  <c r="H135"/>
  <c r="AK135" s="1"/>
  <c r="BJ134"/>
  <c r="BF134"/>
  <c r="BD134"/>
  <c r="AX134"/>
  <c r="AW134"/>
  <c r="BC134" s="1"/>
  <c r="AP134"/>
  <c r="BI134" s="1"/>
  <c r="AE134" s="1"/>
  <c r="AO134"/>
  <c r="BH134" s="1"/>
  <c r="AD134" s="1"/>
  <c r="AL134"/>
  <c r="AJ134"/>
  <c r="AH134"/>
  <c r="AG134"/>
  <c r="AF134"/>
  <c r="AC134"/>
  <c r="AB134"/>
  <c r="Z134"/>
  <c r="H134"/>
  <c r="AK134" s="1"/>
  <c r="BJ133"/>
  <c r="BF133"/>
  <c r="BD133"/>
  <c r="AW133"/>
  <c r="AP133"/>
  <c r="AX133" s="1"/>
  <c r="AV133" s="1"/>
  <c r="AO133"/>
  <c r="BH133" s="1"/>
  <c r="AD133" s="1"/>
  <c r="AL133"/>
  <c r="AK133"/>
  <c r="AJ133"/>
  <c r="AH133"/>
  <c r="AG133"/>
  <c r="AF133"/>
  <c r="AC133"/>
  <c r="AB133"/>
  <c r="Z133"/>
  <c r="H133"/>
  <c r="BJ132"/>
  <c r="BF132"/>
  <c r="BD132"/>
  <c r="AP132"/>
  <c r="AX132" s="1"/>
  <c r="AO132"/>
  <c r="AW132" s="1"/>
  <c r="AL132"/>
  <c r="AK132"/>
  <c r="AJ132"/>
  <c r="AH132"/>
  <c r="AG132"/>
  <c r="AF132"/>
  <c r="AC132"/>
  <c r="AB132"/>
  <c r="Z132"/>
  <c r="H132"/>
  <c r="BJ131"/>
  <c r="BF131"/>
  <c r="BD131"/>
  <c r="AX131"/>
  <c r="AP131"/>
  <c r="BI131" s="1"/>
  <c r="AE131" s="1"/>
  <c r="AO131"/>
  <c r="AW131" s="1"/>
  <c r="AL131"/>
  <c r="AJ131"/>
  <c r="AH131"/>
  <c r="AG131"/>
  <c r="AF131"/>
  <c r="AC131"/>
  <c r="AB131"/>
  <c r="Z131"/>
  <c r="H131"/>
  <c r="AK131" s="1"/>
  <c r="BJ130"/>
  <c r="BF130"/>
  <c r="BD130"/>
  <c r="AX130"/>
  <c r="AW130"/>
  <c r="BC130" s="1"/>
  <c r="AP130"/>
  <c r="BI130" s="1"/>
  <c r="AE130" s="1"/>
  <c r="AO130"/>
  <c r="BH130" s="1"/>
  <c r="AD130" s="1"/>
  <c r="AL130"/>
  <c r="AJ130"/>
  <c r="AH130"/>
  <c r="AG130"/>
  <c r="AF130"/>
  <c r="AC130"/>
  <c r="AB130"/>
  <c r="Z130"/>
  <c r="H130"/>
  <c r="AK130" s="1"/>
  <c r="AU129"/>
  <c r="AS129"/>
  <c r="H129"/>
  <c r="BJ128"/>
  <c r="Z128" s="1"/>
  <c r="BF128"/>
  <c r="BD128"/>
  <c r="AW128"/>
  <c r="BC128" s="1"/>
  <c r="AP128"/>
  <c r="AX128" s="1"/>
  <c r="AV128" s="1"/>
  <c r="AO128"/>
  <c r="BH128" s="1"/>
  <c r="AL128"/>
  <c r="AK128"/>
  <c r="AJ128"/>
  <c r="AH128"/>
  <c r="AG128"/>
  <c r="AF128"/>
  <c r="AE128"/>
  <c r="AD128"/>
  <c r="AC128"/>
  <c r="AB128"/>
  <c r="H128"/>
  <c r="BJ127"/>
  <c r="BF127"/>
  <c r="BD127"/>
  <c r="AW127"/>
  <c r="AP127"/>
  <c r="AX127" s="1"/>
  <c r="AO127"/>
  <c r="BH127" s="1"/>
  <c r="AD127" s="1"/>
  <c r="AL127"/>
  <c r="AK127"/>
  <c r="AJ127"/>
  <c r="AH127"/>
  <c r="AG127"/>
  <c r="AF127"/>
  <c r="AC127"/>
  <c r="AB127"/>
  <c r="Z127"/>
  <c r="H127"/>
  <c r="BJ126"/>
  <c r="BF126"/>
  <c r="BD126"/>
  <c r="AP126"/>
  <c r="BI126" s="1"/>
  <c r="AE126" s="1"/>
  <c r="AO126"/>
  <c r="AW126" s="1"/>
  <c r="AL126"/>
  <c r="AJ126"/>
  <c r="AH126"/>
  <c r="AG126"/>
  <c r="AF126"/>
  <c r="AC126"/>
  <c r="AB126"/>
  <c r="Z126"/>
  <c r="H126"/>
  <c r="AK126" s="1"/>
  <c r="BJ125"/>
  <c r="BF125"/>
  <c r="BD125"/>
  <c r="AX125"/>
  <c r="AP125"/>
  <c r="BI125" s="1"/>
  <c r="AG125" s="1"/>
  <c r="AO125"/>
  <c r="BH125" s="1"/>
  <c r="AF125" s="1"/>
  <c r="AL125"/>
  <c r="AJ125"/>
  <c r="AH125"/>
  <c r="AE125"/>
  <c r="AD125"/>
  <c r="AC125"/>
  <c r="AB125"/>
  <c r="Z125"/>
  <c r="H125"/>
  <c r="AK125" s="1"/>
  <c r="BJ124"/>
  <c r="BF124"/>
  <c r="BD124"/>
  <c r="AW124"/>
  <c r="AP124"/>
  <c r="AX124" s="1"/>
  <c r="AO124"/>
  <c r="BH124" s="1"/>
  <c r="AD124" s="1"/>
  <c r="AL124"/>
  <c r="AK124"/>
  <c r="AJ124"/>
  <c r="AH124"/>
  <c r="AG124"/>
  <c r="AF124"/>
  <c r="AC124"/>
  <c r="AB124"/>
  <c r="Z124"/>
  <c r="H124"/>
  <c r="BJ123"/>
  <c r="BF123"/>
  <c r="BD123"/>
  <c r="AW123"/>
  <c r="AP123"/>
  <c r="AX123" s="1"/>
  <c r="AO123"/>
  <c r="BH123" s="1"/>
  <c r="AD123" s="1"/>
  <c r="AL123"/>
  <c r="AK123"/>
  <c r="AJ123"/>
  <c r="AH123"/>
  <c r="AG123"/>
  <c r="AF123"/>
  <c r="AC123"/>
  <c r="AB123"/>
  <c r="Z123"/>
  <c r="H123"/>
  <c r="BJ122"/>
  <c r="BF122"/>
  <c r="BD122"/>
  <c r="AP122"/>
  <c r="BI122" s="1"/>
  <c r="AE122" s="1"/>
  <c r="AO122"/>
  <c r="AW122" s="1"/>
  <c r="AL122"/>
  <c r="AJ122"/>
  <c r="AH122"/>
  <c r="AG122"/>
  <c r="AF122"/>
  <c r="AC122"/>
  <c r="AB122"/>
  <c r="Z122"/>
  <c r="H122"/>
  <c r="AK122" s="1"/>
  <c r="BJ121"/>
  <c r="BF121"/>
  <c r="BD121"/>
  <c r="AX121"/>
  <c r="AP121"/>
  <c r="BI121" s="1"/>
  <c r="AE121" s="1"/>
  <c r="AO121"/>
  <c r="BH121" s="1"/>
  <c r="AD121" s="1"/>
  <c r="AL121"/>
  <c r="AJ121"/>
  <c r="AH121"/>
  <c r="AG121"/>
  <c r="AF121"/>
  <c r="AC121"/>
  <c r="AB121"/>
  <c r="Z121"/>
  <c r="H121"/>
  <c r="AK121" s="1"/>
  <c r="BJ120"/>
  <c r="BF120"/>
  <c r="BD120"/>
  <c r="AX120"/>
  <c r="AW120"/>
  <c r="BC120" s="1"/>
  <c r="AP120"/>
  <c r="BI120" s="1"/>
  <c r="AE120" s="1"/>
  <c r="AO120"/>
  <c r="BH120" s="1"/>
  <c r="AD120" s="1"/>
  <c r="AL120"/>
  <c r="AJ120"/>
  <c r="AH120"/>
  <c r="AG120"/>
  <c r="AF120"/>
  <c r="AC120"/>
  <c r="AB120"/>
  <c r="Z120"/>
  <c r="H120"/>
  <c r="AK120" s="1"/>
  <c r="BJ119"/>
  <c r="BF119"/>
  <c r="BD119"/>
  <c r="AW119"/>
  <c r="AP119"/>
  <c r="AX119" s="1"/>
  <c r="AV119" s="1"/>
  <c r="AO119"/>
  <c r="BH119" s="1"/>
  <c r="AD119" s="1"/>
  <c r="AL119"/>
  <c r="AK119"/>
  <c r="AJ119"/>
  <c r="AH119"/>
  <c r="AG119"/>
  <c r="AF119"/>
  <c r="AC119"/>
  <c r="AB119"/>
  <c r="Z119"/>
  <c r="H119"/>
  <c r="AU118"/>
  <c r="AS118"/>
  <c r="H118"/>
  <c r="BJ117"/>
  <c r="BF117"/>
  <c r="BD117"/>
  <c r="AP117"/>
  <c r="BI117" s="1"/>
  <c r="AO117"/>
  <c r="AW117" s="1"/>
  <c r="AL117"/>
  <c r="AJ117"/>
  <c r="AH117"/>
  <c r="AG117"/>
  <c r="AF117"/>
  <c r="AE117"/>
  <c r="AD117"/>
  <c r="AC117"/>
  <c r="AB117"/>
  <c r="Z117"/>
  <c r="H117"/>
  <c r="AK117" s="1"/>
  <c r="BJ113"/>
  <c r="BF113"/>
  <c r="BD113"/>
  <c r="AX113"/>
  <c r="AP113"/>
  <c r="BI113" s="1"/>
  <c r="AE113" s="1"/>
  <c r="AO113"/>
  <c r="BH113" s="1"/>
  <c r="AD113" s="1"/>
  <c r="AL113"/>
  <c r="AJ113"/>
  <c r="AH113"/>
  <c r="AG113"/>
  <c r="AF113"/>
  <c r="AC113"/>
  <c r="AB113"/>
  <c r="Z113"/>
  <c r="H113"/>
  <c r="AK113" s="1"/>
  <c r="BJ108"/>
  <c r="BF108"/>
  <c r="BD108"/>
  <c r="AP108"/>
  <c r="AX108" s="1"/>
  <c r="AO108"/>
  <c r="AW108" s="1"/>
  <c r="AL108"/>
  <c r="AJ108"/>
  <c r="AH108"/>
  <c r="AG108"/>
  <c r="AF108"/>
  <c r="AC108"/>
  <c r="AB108"/>
  <c r="Z108"/>
  <c r="H108"/>
  <c r="AK108" s="1"/>
  <c r="BJ107"/>
  <c r="BF107"/>
  <c r="BD107"/>
  <c r="AP107"/>
  <c r="AX107" s="1"/>
  <c r="AO107"/>
  <c r="AW107" s="1"/>
  <c r="AL107"/>
  <c r="AJ107"/>
  <c r="AH107"/>
  <c r="AG107"/>
  <c r="AF107"/>
  <c r="AC107"/>
  <c r="AB107"/>
  <c r="Z107"/>
  <c r="H107"/>
  <c r="AK107" s="1"/>
  <c r="AU106"/>
  <c r="AS106"/>
  <c r="H106"/>
  <c r="BJ105"/>
  <c r="BF105"/>
  <c r="BD105"/>
  <c r="AW105"/>
  <c r="AP105"/>
  <c r="BI105" s="1"/>
  <c r="AO105"/>
  <c r="BH105" s="1"/>
  <c r="AL105"/>
  <c r="AJ105"/>
  <c r="AH105"/>
  <c r="AG105"/>
  <c r="AF105"/>
  <c r="AE105"/>
  <c r="AD105"/>
  <c r="AC105"/>
  <c r="AB105"/>
  <c r="Z105"/>
  <c r="H105"/>
  <c r="AK105" s="1"/>
  <c r="AT104" s="1"/>
  <c r="AU104"/>
  <c r="AS104"/>
  <c r="H104"/>
  <c r="BJ101"/>
  <c r="BF101"/>
  <c r="BD101"/>
  <c r="AP101"/>
  <c r="AX101" s="1"/>
  <c r="AO101"/>
  <c r="BH101" s="1"/>
  <c r="AL101"/>
  <c r="AJ101"/>
  <c r="AH101"/>
  <c r="AG101"/>
  <c r="AF101"/>
  <c r="AE101"/>
  <c r="AD101"/>
  <c r="AC101"/>
  <c r="AB101"/>
  <c r="Z101"/>
  <c r="H101"/>
  <c r="AK101" s="1"/>
  <c r="BJ99"/>
  <c r="BF99"/>
  <c r="BD99"/>
  <c r="AP99"/>
  <c r="AX99" s="1"/>
  <c r="AO99"/>
  <c r="AW99" s="1"/>
  <c r="AL99"/>
  <c r="AJ99"/>
  <c r="AH99"/>
  <c r="AG99"/>
  <c r="AF99"/>
  <c r="AE99"/>
  <c r="AD99"/>
  <c r="AC99"/>
  <c r="AB99"/>
  <c r="Z99"/>
  <c r="H99"/>
  <c r="AK99" s="1"/>
  <c r="BJ97"/>
  <c r="BF97"/>
  <c r="BD97"/>
  <c r="AX97"/>
  <c r="AP97"/>
  <c r="BI97" s="1"/>
  <c r="AO97"/>
  <c r="AW97" s="1"/>
  <c r="AL97"/>
  <c r="AJ97"/>
  <c r="AH97"/>
  <c r="AG97"/>
  <c r="AF97"/>
  <c r="AE97"/>
  <c r="AD97"/>
  <c r="AC97"/>
  <c r="AB97"/>
  <c r="Z97"/>
  <c r="H97"/>
  <c r="AK97" s="1"/>
  <c r="BJ96"/>
  <c r="BF96"/>
  <c r="BD96"/>
  <c r="AX96"/>
  <c r="AP96"/>
  <c r="BI96" s="1"/>
  <c r="AO96"/>
  <c r="AW96" s="1"/>
  <c r="AL96"/>
  <c r="AJ96"/>
  <c r="AH96"/>
  <c r="AG96"/>
  <c r="AF96"/>
  <c r="AE96"/>
  <c r="AD96"/>
  <c r="AC96"/>
  <c r="AB96"/>
  <c r="Z96"/>
  <c r="H96"/>
  <c r="AK96" s="1"/>
  <c r="BJ94"/>
  <c r="BF94"/>
  <c r="BD94"/>
  <c r="AW94"/>
  <c r="AP94"/>
  <c r="AX94" s="1"/>
  <c r="AO94"/>
  <c r="BH94" s="1"/>
  <c r="AL94"/>
  <c r="AJ94"/>
  <c r="AH94"/>
  <c r="AG94"/>
  <c r="AF94"/>
  <c r="AE94"/>
  <c r="AD94"/>
  <c r="AC94"/>
  <c r="AB94"/>
  <c r="Z94"/>
  <c r="H94"/>
  <c r="AK94" s="1"/>
  <c r="BJ93"/>
  <c r="BF93"/>
  <c r="BD93"/>
  <c r="AP93"/>
  <c r="AX93" s="1"/>
  <c r="AO93"/>
  <c r="AW93" s="1"/>
  <c r="AL93"/>
  <c r="AJ93"/>
  <c r="AH93"/>
  <c r="AG93"/>
  <c r="AF93"/>
  <c r="AE93"/>
  <c r="AD93"/>
  <c r="AC93"/>
  <c r="AB93"/>
  <c r="Z93"/>
  <c r="H93"/>
  <c r="AK93" s="1"/>
  <c r="BJ92"/>
  <c r="BF92"/>
  <c r="BD92"/>
  <c r="AP92"/>
  <c r="AX92" s="1"/>
  <c r="AO92"/>
  <c r="AW92" s="1"/>
  <c r="AL92"/>
  <c r="AJ92"/>
  <c r="AH92"/>
  <c r="AG92"/>
  <c r="AF92"/>
  <c r="AE92"/>
  <c r="AD92"/>
  <c r="AC92"/>
  <c r="AB92"/>
  <c r="Z92"/>
  <c r="H92"/>
  <c r="AK92" s="1"/>
  <c r="BJ91"/>
  <c r="BF91"/>
  <c r="BD91"/>
  <c r="AX91"/>
  <c r="AP91"/>
  <c r="BI91" s="1"/>
  <c r="AO91"/>
  <c r="AW91" s="1"/>
  <c r="AL91"/>
  <c r="AJ91"/>
  <c r="AH91"/>
  <c r="AG91"/>
  <c r="AF91"/>
  <c r="AE91"/>
  <c r="AD91"/>
  <c r="AC91"/>
  <c r="AB91"/>
  <c r="Z91"/>
  <c r="H91"/>
  <c r="AK91" s="1"/>
  <c r="BJ89"/>
  <c r="BF89"/>
  <c r="BD89"/>
  <c r="AW89"/>
  <c r="BC89" s="1"/>
  <c r="AP89"/>
  <c r="AX89" s="1"/>
  <c r="AO89"/>
  <c r="BH89" s="1"/>
  <c r="AB89" s="1"/>
  <c r="AL89"/>
  <c r="AJ89"/>
  <c r="AH89"/>
  <c r="AG89"/>
  <c r="AF89"/>
  <c r="AE89"/>
  <c r="AD89"/>
  <c r="Z89"/>
  <c r="H89"/>
  <c r="AK89" s="1"/>
  <c r="BJ88"/>
  <c r="BF88"/>
  <c r="BD88"/>
  <c r="AP88"/>
  <c r="AX88" s="1"/>
  <c r="AO88"/>
  <c r="AW88" s="1"/>
  <c r="AL88"/>
  <c r="AJ88"/>
  <c r="AH88"/>
  <c r="AG88"/>
  <c r="AF88"/>
  <c r="AE88"/>
  <c r="AD88"/>
  <c r="Z88"/>
  <c r="H88"/>
  <c r="AK88" s="1"/>
  <c r="BJ86"/>
  <c r="BF86"/>
  <c r="BD86"/>
  <c r="AX86"/>
  <c r="AP86"/>
  <c r="BI86" s="1"/>
  <c r="AC86" s="1"/>
  <c r="AO86"/>
  <c r="AW86" s="1"/>
  <c r="AL86"/>
  <c r="AJ86"/>
  <c r="AH86"/>
  <c r="AG86"/>
  <c r="AF86"/>
  <c r="AE86"/>
  <c r="AD86"/>
  <c r="Z86"/>
  <c r="H86"/>
  <c r="AK86" s="1"/>
  <c r="BJ85"/>
  <c r="BF85"/>
  <c r="BD85"/>
  <c r="AX85"/>
  <c r="AW85"/>
  <c r="BC85" s="1"/>
  <c r="AP85"/>
  <c r="BI85" s="1"/>
  <c r="AC85" s="1"/>
  <c r="AO85"/>
  <c r="BH85" s="1"/>
  <c r="AB85" s="1"/>
  <c r="AL85"/>
  <c r="AJ85"/>
  <c r="AH85"/>
  <c r="AG85"/>
  <c r="AF85"/>
  <c r="AE85"/>
  <c r="AD85"/>
  <c r="Z85"/>
  <c r="H85"/>
  <c r="AK85" s="1"/>
  <c r="BJ84"/>
  <c r="BF84"/>
  <c r="BD84"/>
  <c r="AW84"/>
  <c r="BC84" s="1"/>
  <c r="AP84"/>
  <c r="AX84" s="1"/>
  <c r="AO84"/>
  <c r="BH84" s="1"/>
  <c r="AB84" s="1"/>
  <c r="AL84"/>
  <c r="AJ84"/>
  <c r="AH84"/>
  <c r="AG84"/>
  <c r="AF84"/>
  <c r="AE84"/>
  <c r="AD84"/>
  <c r="Z84"/>
  <c r="H84"/>
  <c r="AK84" s="1"/>
  <c r="AU83"/>
  <c r="AS83"/>
  <c r="H83"/>
  <c r="BJ82"/>
  <c r="BF82"/>
  <c r="BD82"/>
  <c r="AP82"/>
  <c r="AX82" s="1"/>
  <c r="AO82"/>
  <c r="AW82" s="1"/>
  <c r="AL82"/>
  <c r="AK82"/>
  <c r="AJ82"/>
  <c r="AH82"/>
  <c r="AG82"/>
  <c r="AF82"/>
  <c r="AE82"/>
  <c r="AD82"/>
  <c r="Z82"/>
  <c r="H82"/>
  <c r="BJ80"/>
  <c r="BF80"/>
  <c r="BD80"/>
  <c r="AP80"/>
  <c r="AX80" s="1"/>
  <c r="AO80"/>
  <c r="AW80" s="1"/>
  <c r="AL80"/>
  <c r="AJ80"/>
  <c r="AH80"/>
  <c r="AG80"/>
  <c r="AF80"/>
  <c r="AE80"/>
  <c r="AD80"/>
  <c r="Z80"/>
  <c r="H80"/>
  <c r="AK80" s="1"/>
  <c r="BJ78"/>
  <c r="BF78"/>
  <c r="BD78"/>
  <c r="AX78"/>
  <c r="AP78"/>
  <c r="BI78" s="1"/>
  <c r="AC78" s="1"/>
  <c r="AO78"/>
  <c r="AW78" s="1"/>
  <c r="AL78"/>
  <c r="AJ78"/>
  <c r="AH78"/>
  <c r="AG78"/>
  <c r="AF78"/>
  <c r="AE78"/>
  <c r="AD78"/>
  <c r="Z78"/>
  <c r="H78"/>
  <c r="AK78" s="1"/>
  <c r="BJ77"/>
  <c r="BF77"/>
  <c r="BD77"/>
  <c r="AW77"/>
  <c r="AP77"/>
  <c r="AX77" s="1"/>
  <c r="AO77"/>
  <c r="BH77" s="1"/>
  <c r="AB77" s="1"/>
  <c r="AL77"/>
  <c r="AJ77"/>
  <c r="AH77"/>
  <c r="AG77"/>
  <c r="AF77"/>
  <c r="AE77"/>
  <c r="AD77"/>
  <c r="Z77"/>
  <c r="H77"/>
  <c r="AK77" s="1"/>
  <c r="BJ75"/>
  <c r="BF75"/>
  <c r="BD75"/>
  <c r="AP75"/>
  <c r="AX75" s="1"/>
  <c r="AO75"/>
  <c r="AW75" s="1"/>
  <c r="AL75"/>
  <c r="AK75"/>
  <c r="AJ75"/>
  <c r="AH75"/>
  <c r="AG75"/>
  <c r="AF75"/>
  <c r="AE75"/>
  <c r="AD75"/>
  <c r="Z75"/>
  <c r="H75"/>
  <c r="AU74"/>
  <c r="AS74"/>
  <c r="H74"/>
  <c r="BJ73"/>
  <c r="BF73"/>
  <c r="BD73"/>
  <c r="AP73"/>
  <c r="AX73" s="1"/>
  <c r="AO73"/>
  <c r="AW73" s="1"/>
  <c r="AL73"/>
  <c r="AJ73"/>
  <c r="AH73"/>
  <c r="AG73"/>
  <c r="AF73"/>
  <c r="AE73"/>
  <c r="AD73"/>
  <c r="Z73"/>
  <c r="H73"/>
  <c r="AK73" s="1"/>
  <c r="BJ70"/>
  <c r="BF70"/>
  <c r="BD70"/>
  <c r="AX70"/>
  <c r="AP70"/>
  <c r="BI70" s="1"/>
  <c r="AC70" s="1"/>
  <c r="AO70"/>
  <c r="AW70" s="1"/>
  <c r="AL70"/>
  <c r="AJ70"/>
  <c r="AH70"/>
  <c r="AG70"/>
  <c r="AF70"/>
  <c r="AE70"/>
  <c r="AD70"/>
  <c r="Z70"/>
  <c r="H70"/>
  <c r="AK70" s="1"/>
  <c r="BJ67"/>
  <c r="BF67"/>
  <c r="BD67"/>
  <c r="AX67"/>
  <c r="AW67"/>
  <c r="BC67" s="1"/>
  <c r="AP67"/>
  <c r="BI67" s="1"/>
  <c r="AC67" s="1"/>
  <c r="AO67"/>
  <c r="BH67" s="1"/>
  <c r="AB67" s="1"/>
  <c r="AL67"/>
  <c r="AJ67"/>
  <c r="AH67"/>
  <c r="AG67"/>
  <c r="AF67"/>
  <c r="AE67"/>
  <c r="AD67"/>
  <c r="Z67"/>
  <c r="H67"/>
  <c r="AK67" s="1"/>
  <c r="AT66" s="1"/>
  <c r="AU66"/>
  <c r="AS66"/>
  <c r="H66"/>
  <c r="BJ64"/>
  <c r="BF64"/>
  <c r="BD64"/>
  <c r="AP64"/>
  <c r="AX64" s="1"/>
  <c r="AO64"/>
  <c r="AW64" s="1"/>
  <c r="AL64"/>
  <c r="AJ64"/>
  <c r="AH64"/>
  <c r="AG64"/>
  <c r="AF64"/>
  <c r="AE64"/>
  <c r="AD64"/>
  <c r="Z64"/>
  <c r="H64"/>
  <c r="AK64" s="1"/>
  <c r="BJ61"/>
  <c r="BF61"/>
  <c r="BD61"/>
  <c r="AP61"/>
  <c r="AX61" s="1"/>
  <c r="AO61"/>
  <c r="AW61" s="1"/>
  <c r="AL61"/>
  <c r="AJ61"/>
  <c r="AH61"/>
  <c r="AG61"/>
  <c r="AF61"/>
  <c r="AE61"/>
  <c r="AD61"/>
  <c r="Z61"/>
  <c r="H61"/>
  <c r="AK61" s="1"/>
  <c r="BJ59"/>
  <c r="BF59"/>
  <c r="BD59"/>
  <c r="AX59"/>
  <c r="AP59"/>
  <c r="BI59" s="1"/>
  <c r="AC59" s="1"/>
  <c r="AO59"/>
  <c r="AW59" s="1"/>
  <c r="AL59"/>
  <c r="AJ59"/>
  <c r="AH59"/>
  <c r="AG59"/>
  <c r="AF59"/>
  <c r="AE59"/>
  <c r="AD59"/>
  <c r="Z59"/>
  <c r="H59"/>
  <c r="AK59" s="1"/>
  <c r="BJ57"/>
  <c r="BF57"/>
  <c r="BD57"/>
  <c r="AX57"/>
  <c r="AW57"/>
  <c r="BC57" s="1"/>
  <c r="AP57"/>
  <c r="BI57" s="1"/>
  <c r="AC57" s="1"/>
  <c r="AO57"/>
  <c r="BH57" s="1"/>
  <c r="AB57" s="1"/>
  <c r="AL57"/>
  <c r="AJ57"/>
  <c r="AH57"/>
  <c r="AG57"/>
  <c r="AF57"/>
  <c r="AE57"/>
  <c r="AD57"/>
  <c r="Z57"/>
  <c r="H57"/>
  <c r="AK57" s="1"/>
  <c r="BJ55"/>
  <c r="BF55"/>
  <c r="BD55"/>
  <c r="AW55"/>
  <c r="AP55"/>
  <c r="AX55" s="1"/>
  <c r="AO55"/>
  <c r="BH55" s="1"/>
  <c r="AB55" s="1"/>
  <c r="AL55"/>
  <c r="AJ55"/>
  <c r="AH55"/>
  <c r="AG55"/>
  <c r="AF55"/>
  <c r="AE55"/>
  <c r="AD55"/>
  <c r="Z55"/>
  <c r="H55"/>
  <c r="AK55" s="1"/>
  <c r="BJ46"/>
  <c r="BF46"/>
  <c r="BD46"/>
  <c r="AP46"/>
  <c r="BI46" s="1"/>
  <c r="AO46"/>
  <c r="AW46" s="1"/>
  <c r="AL46"/>
  <c r="AJ46"/>
  <c r="AH46"/>
  <c r="AG46"/>
  <c r="AF46"/>
  <c r="AE46"/>
  <c r="AD46"/>
  <c r="AC46"/>
  <c r="Z46"/>
  <c r="H46"/>
  <c r="AK46" s="1"/>
  <c r="BJ44"/>
  <c r="BF44"/>
  <c r="BD44"/>
  <c r="AW44"/>
  <c r="BC44" s="1"/>
  <c r="AP44"/>
  <c r="AX44" s="1"/>
  <c r="AV44" s="1"/>
  <c r="AO44"/>
  <c r="BH44" s="1"/>
  <c r="AB44" s="1"/>
  <c r="AL44"/>
  <c r="AK44"/>
  <c r="AJ44"/>
  <c r="AH44"/>
  <c r="AG44"/>
  <c r="AF44"/>
  <c r="AE44"/>
  <c r="AD44"/>
  <c r="Z44"/>
  <c r="H44"/>
  <c r="BJ42"/>
  <c r="BF42"/>
  <c r="BD42"/>
  <c r="AP42"/>
  <c r="BI42" s="1"/>
  <c r="AC42" s="1"/>
  <c r="AO42"/>
  <c r="AW42" s="1"/>
  <c r="AL42"/>
  <c r="AK42"/>
  <c r="AJ42"/>
  <c r="AH42"/>
  <c r="AG42"/>
  <c r="AF42"/>
  <c r="AE42"/>
  <c r="AD42"/>
  <c r="Z42"/>
  <c r="H42"/>
  <c r="BJ34"/>
  <c r="BF34"/>
  <c r="BD34"/>
  <c r="AX34"/>
  <c r="AP34"/>
  <c r="BI34" s="1"/>
  <c r="AC34" s="1"/>
  <c r="AO34"/>
  <c r="AW34" s="1"/>
  <c r="AL34"/>
  <c r="AJ34"/>
  <c r="AH34"/>
  <c r="AG34"/>
  <c r="AF34"/>
  <c r="AE34"/>
  <c r="AD34"/>
  <c r="Z34"/>
  <c r="H34"/>
  <c r="AK34" s="1"/>
  <c r="BJ33"/>
  <c r="BF33"/>
  <c r="BD33"/>
  <c r="AX33"/>
  <c r="AW33"/>
  <c r="BC33" s="1"/>
  <c r="AP33"/>
  <c r="BI33" s="1"/>
  <c r="AC33" s="1"/>
  <c r="AO33"/>
  <c r="BH33" s="1"/>
  <c r="AB33" s="1"/>
  <c r="AL33"/>
  <c r="AJ33"/>
  <c r="AH33"/>
  <c r="AG33"/>
  <c r="AF33"/>
  <c r="AE33"/>
  <c r="AD33"/>
  <c r="Z33"/>
  <c r="H33"/>
  <c r="AK33" s="1"/>
  <c r="BJ32"/>
  <c r="BF32"/>
  <c r="BD32"/>
  <c r="AW32"/>
  <c r="BC32" s="1"/>
  <c r="AP32"/>
  <c r="AX32" s="1"/>
  <c r="AV32" s="1"/>
  <c r="AO32"/>
  <c r="BH32" s="1"/>
  <c r="AB32" s="1"/>
  <c r="AL32"/>
  <c r="AU27" s="1"/>
  <c r="AK32"/>
  <c r="AJ32"/>
  <c r="AH32"/>
  <c r="AG32"/>
  <c r="AF32"/>
  <c r="AE32"/>
  <c r="AD32"/>
  <c r="Z32"/>
  <c r="H32"/>
  <c r="BJ30"/>
  <c r="BF30"/>
  <c r="BD30"/>
  <c r="AW30"/>
  <c r="AP30"/>
  <c r="BI30" s="1"/>
  <c r="AC30" s="1"/>
  <c r="AO30"/>
  <c r="BH30" s="1"/>
  <c r="AB30" s="1"/>
  <c r="AL30"/>
  <c r="AK30"/>
  <c r="AJ30"/>
  <c r="AS27" s="1"/>
  <c r="AH30"/>
  <c r="AG30"/>
  <c r="AF30"/>
  <c r="AE30"/>
  <c r="AD30"/>
  <c r="Z30"/>
  <c r="H30"/>
  <c r="BJ28"/>
  <c r="BF28"/>
  <c r="BD28"/>
  <c r="AX28"/>
  <c r="AP28"/>
  <c r="BI28" s="1"/>
  <c r="AC28" s="1"/>
  <c r="AO28"/>
  <c r="BH28" s="1"/>
  <c r="AB28" s="1"/>
  <c r="AL28"/>
  <c r="AJ28"/>
  <c r="AH28"/>
  <c r="AG28"/>
  <c r="AF28"/>
  <c r="AE28"/>
  <c r="AD28"/>
  <c r="Z28"/>
  <c r="H28"/>
  <c r="AK28" s="1"/>
  <c r="AT27" s="1"/>
  <c r="BJ25"/>
  <c r="BF25"/>
  <c r="BD25"/>
  <c r="AX25"/>
  <c r="AW25"/>
  <c r="BC25" s="1"/>
  <c r="AP25"/>
  <c r="BI25" s="1"/>
  <c r="AC25" s="1"/>
  <c r="AO25"/>
  <c r="BH25" s="1"/>
  <c r="AB25" s="1"/>
  <c r="AL25"/>
  <c r="AJ25"/>
  <c r="AH25"/>
  <c r="AG25"/>
  <c r="AF25"/>
  <c r="AE25"/>
  <c r="AD25"/>
  <c r="Z25"/>
  <c r="H25"/>
  <c r="AK25" s="1"/>
  <c r="BJ23"/>
  <c r="BF23"/>
  <c r="BD23"/>
  <c r="AW23"/>
  <c r="AP23"/>
  <c r="AX23" s="1"/>
  <c r="AV23" s="1"/>
  <c r="AO23"/>
  <c r="BH23" s="1"/>
  <c r="AB23" s="1"/>
  <c r="AL23"/>
  <c r="AK23"/>
  <c r="AJ23"/>
  <c r="AH23"/>
  <c r="AG23"/>
  <c r="AF23"/>
  <c r="AE23"/>
  <c r="AD23"/>
  <c r="Z23"/>
  <c r="H23"/>
  <c r="BJ21"/>
  <c r="BF21"/>
  <c r="BD21"/>
  <c r="AP21"/>
  <c r="BI21" s="1"/>
  <c r="AC21" s="1"/>
  <c r="AO21"/>
  <c r="AW21" s="1"/>
  <c r="AL21"/>
  <c r="AK21"/>
  <c r="AJ21"/>
  <c r="C27" i="1" s="1"/>
  <c r="AH21" i="3"/>
  <c r="AG21"/>
  <c r="AF21"/>
  <c r="AE21"/>
  <c r="AD21"/>
  <c r="Z21"/>
  <c r="H21"/>
  <c r="BJ18"/>
  <c r="BF18"/>
  <c r="BD18"/>
  <c r="AX18"/>
  <c r="AP18"/>
  <c r="BI18" s="1"/>
  <c r="AC18" s="1"/>
  <c r="AO18"/>
  <c r="BH18" s="1"/>
  <c r="AB18" s="1"/>
  <c r="AL18"/>
  <c r="AJ18"/>
  <c r="AS13" s="1"/>
  <c r="AH18"/>
  <c r="C20" i="1" s="1"/>
  <c r="AG18" i="3"/>
  <c r="AF18"/>
  <c r="AE18"/>
  <c r="AD18"/>
  <c r="Z18"/>
  <c r="C21" i="1" s="1"/>
  <c r="H18" i="3"/>
  <c r="AK18" s="1"/>
  <c r="BJ16"/>
  <c r="BF16"/>
  <c r="BD16"/>
  <c r="AX16"/>
  <c r="AW16"/>
  <c r="BC16" s="1"/>
  <c r="AP16"/>
  <c r="BI16" s="1"/>
  <c r="AC16" s="1"/>
  <c r="AO16"/>
  <c r="BH16" s="1"/>
  <c r="AB16" s="1"/>
  <c r="AL16"/>
  <c r="AU13" s="1"/>
  <c r="AJ16"/>
  <c r="AH16"/>
  <c r="AG16"/>
  <c r="AF16"/>
  <c r="AE16"/>
  <c r="AD16"/>
  <c r="Z16"/>
  <c r="H16"/>
  <c r="H13" s="1"/>
  <c r="BJ14"/>
  <c r="BF14"/>
  <c r="BD14"/>
  <c r="AW14"/>
  <c r="AP14"/>
  <c r="AX14" s="1"/>
  <c r="AV14" s="1"/>
  <c r="AO14"/>
  <c r="BH14" s="1"/>
  <c r="AB14" s="1"/>
  <c r="AL14"/>
  <c r="C29" i="1" s="1"/>
  <c r="F29" s="1"/>
  <c r="AK14" i="3"/>
  <c r="AJ14"/>
  <c r="AH14"/>
  <c r="AG14"/>
  <c r="AF14"/>
  <c r="AE14"/>
  <c r="AD14"/>
  <c r="Z14"/>
  <c r="H14"/>
  <c r="AU1"/>
  <c r="AT1"/>
  <c r="AS1"/>
  <c r="I44" i="2"/>
  <c r="F44"/>
  <c r="F43"/>
  <c r="I43" s="1"/>
  <c r="I42"/>
  <c r="F42"/>
  <c r="F41"/>
  <c r="I41" s="1"/>
  <c r="I40"/>
  <c r="F40"/>
  <c r="F39"/>
  <c r="I39" s="1"/>
  <c r="I38"/>
  <c r="F38"/>
  <c r="F37"/>
  <c r="I37" s="1"/>
  <c r="I36"/>
  <c r="F36"/>
  <c r="F35"/>
  <c r="I35" s="1"/>
  <c r="I26"/>
  <c r="I25"/>
  <c r="I18" i="1" s="1"/>
  <c r="I24" i="2"/>
  <c r="I23"/>
  <c r="I16" i="1" s="1"/>
  <c r="I22" i="2"/>
  <c r="I21"/>
  <c r="I27" s="1"/>
  <c r="I18"/>
  <c r="F29" s="1"/>
  <c r="I17"/>
  <c r="I16"/>
  <c r="I15"/>
  <c r="F14" i="1" s="1"/>
  <c r="F22" s="1"/>
  <c r="I10" i="2"/>
  <c r="F10"/>
  <c r="C10"/>
  <c r="F8"/>
  <c r="C8"/>
  <c r="F6"/>
  <c r="C6"/>
  <c r="F4"/>
  <c r="C4"/>
  <c r="F2"/>
  <c r="C2"/>
  <c r="I19" i="1"/>
  <c r="I17"/>
  <c r="F16"/>
  <c r="I15"/>
  <c r="F15"/>
  <c r="I14"/>
  <c r="I22" s="1"/>
  <c r="I10"/>
  <c r="F10"/>
  <c r="C10"/>
  <c r="F8"/>
  <c r="C8"/>
  <c r="F6"/>
  <c r="C6"/>
  <c r="F4"/>
  <c r="C4"/>
  <c r="F2"/>
  <c r="C2"/>
  <c r="BC34" i="3" l="1"/>
  <c r="AV34"/>
  <c r="BC23"/>
  <c r="AV21"/>
  <c r="H12"/>
  <c r="I45" i="2"/>
  <c r="I24" i="1" s="1"/>
  <c r="BC14" i="3"/>
  <c r="AV46"/>
  <c r="AV73"/>
  <c r="BC73"/>
  <c r="BC93"/>
  <c r="AV93"/>
  <c r="AV107"/>
  <c r="BC107"/>
  <c r="BC131"/>
  <c r="AV131"/>
  <c r="AV132"/>
  <c r="BC132"/>
  <c r="BC138"/>
  <c r="AV138"/>
  <c r="AV151"/>
  <c r="BC151"/>
  <c r="AV155"/>
  <c r="BC155"/>
  <c r="AV159"/>
  <c r="BC159"/>
  <c r="BC170"/>
  <c r="AV170"/>
  <c r="AV184"/>
  <c r="BC184"/>
  <c r="BC229"/>
  <c r="AV229"/>
  <c r="BC59"/>
  <c r="AV59"/>
  <c r="BC78"/>
  <c r="AV78"/>
  <c r="BC91"/>
  <c r="AV91"/>
  <c r="BC99"/>
  <c r="AV99"/>
  <c r="BC140"/>
  <c r="AV140"/>
  <c r="BC147"/>
  <c r="AV147"/>
  <c r="BC152"/>
  <c r="AV152"/>
  <c r="BC156"/>
  <c r="AV156"/>
  <c r="BC163"/>
  <c r="AV163"/>
  <c r="BC167"/>
  <c r="AV167"/>
  <c r="AV171"/>
  <c r="BC171"/>
  <c r="BC176"/>
  <c r="AV176"/>
  <c r="AV179"/>
  <c r="BC179"/>
  <c r="BC185"/>
  <c r="AV185"/>
  <c r="BC212"/>
  <c r="AV212"/>
  <c r="BC213"/>
  <c r="AV213"/>
  <c r="AV232"/>
  <c r="BC232"/>
  <c r="BC236"/>
  <c r="AV236"/>
  <c r="BH34"/>
  <c r="AB34" s="1"/>
  <c r="BI14"/>
  <c r="AC14" s="1"/>
  <c r="AK16"/>
  <c r="AV16"/>
  <c r="AW18"/>
  <c r="AX21"/>
  <c r="BC21" s="1"/>
  <c r="BH21"/>
  <c r="AB21" s="1"/>
  <c r="C14" i="1" s="1"/>
  <c r="BI23" i="3"/>
  <c r="AC23" s="1"/>
  <c r="AV25"/>
  <c r="AW28"/>
  <c r="AX30"/>
  <c r="BI32"/>
  <c r="AC32" s="1"/>
  <c r="AV33"/>
  <c r="AX42"/>
  <c r="BC42" s="1"/>
  <c r="BH42"/>
  <c r="AB42" s="1"/>
  <c r="BI44"/>
  <c r="AC44" s="1"/>
  <c r="AT74"/>
  <c r="AT106"/>
  <c r="AT129"/>
  <c r="BC177"/>
  <c r="AT183"/>
  <c r="BC64"/>
  <c r="AV64"/>
  <c r="BC88"/>
  <c r="AV88"/>
  <c r="AV92"/>
  <c r="BC92"/>
  <c r="BC143"/>
  <c r="AV143"/>
  <c r="AV146"/>
  <c r="BC146"/>
  <c r="AV193"/>
  <c r="BC193"/>
  <c r="BC227"/>
  <c r="AV227"/>
  <c r="AV61"/>
  <c r="BC61"/>
  <c r="BC75"/>
  <c r="AV75"/>
  <c r="AV80"/>
  <c r="BC80"/>
  <c r="AV97"/>
  <c r="BC97"/>
  <c r="BC108"/>
  <c r="AV108"/>
  <c r="BC126"/>
  <c r="AV127"/>
  <c r="BC127"/>
  <c r="BC135"/>
  <c r="AV135"/>
  <c r="BC174"/>
  <c r="AV174"/>
  <c r="AV204"/>
  <c r="BC204"/>
  <c r="AV216"/>
  <c r="BC216"/>
  <c r="AV225"/>
  <c r="BC225"/>
  <c r="BC235"/>
  <c r="AV235"/>
  <c r="BC241"/>
  <c r="AV241"/>
  <c r="H27"/>
  <c r="H249" s="1"/>
  <c r="AV248"/>
  <c r="AX46"/>
  <c r="BC46" s="1"/>
  <c r="BC77"/>
  <c r="BC94"/>
  <c r="BC124"/>
  <c r="BC162"/>
  <c r="BC207"/>
  <c r="BC55"/>
  <c r="AV55"/>
  <c r="BC70"/>
  <c r="AV70"/>
  <c r="BC82"/>
  <c r="AV82"/>
  <c r="AV86"/>
  <c r="BC86"/>
  <c r="BC96"/>
  <c r="AV96"/>
  <c r="BC122"/>
  <c r="AV123"/>
  <c r="BC123"/>
  <c r="AV137"/>
  <c r="BC137"/>
  <c r="AV142"/>
  <c r="BC142"/>
  <c r="BC145"/>
  <c r="AV145"/>
  <c r="BC150"/>
  <c r="AV150"/>
  <c r="BC154"/>
  <c r="AV154"/>
  <c r="BC158"/>
  <c r="AV158"/>
  <c r="BC161"/>
  <c r="AV161"/>
  <c r="AV165"/>
  <c r="BC165"/>
  <c r="BC172"/>
  <c r="AV172"/>
  <c r="AV175"/>
  <c r="BC175"/>
  <c r="BC180"/>
  <c r="AV180"/>
  <c r="BC192"/>
  <c r="AV192"/>
  <c r="BC195"/>
  <c r="AV195"/>
  <c r="BC206"/>
  <c r="AV206"/>
  <c r="AV210"/>
  <c r="BC210"/>
  <c r="BC220"/>
  <c r="AV220"/>
  <c r="BC222"/>
  <c r="AV222"/>
  <c r="BH46"/>
  <c r="AB46" s="1"/>
  <c r="AT83"/>
  <c r="BC119"/>
  <c r="AT118"/>
  <c r="BC133"/>
  <c r="BC173"/>
  <c r="BC197"/>
  <c r="AT196"/>
  <c r="AT215"/>
  <c r="BH59"/>
  <c r="AB59" s="1"/>
  <c r="BI61"/>
  <c r="AC61" s="1"/>
  <c r="BH70"/>
  <c r="AB70" s="1"/>
  <c r="BI73"/>
  <c r="AC73" s="1"/>
  <c r="BH78"/>
  <c r="AB78" s="1"/>
  <c r="BI80"/>
  <c r="AC80" s="1"/>
  <c r="BH91"/>
  <c r="BI92"/>
  <c r="BH96"/>
  <c r="AW101"/>
  <c r="AX105"/>
  <c r="BC105" s="1"/>
  <c r="BI107"/>
  <c r="AE107" s="1"/>
  <c r="C17" i="1" s="1"/>
  <c r="AW113" i="3"/>
  <c r="AX117"/>
  <c r="AV117" s="1"/>
  <c r="BH117"/>
  <c r="BI119"/>
  <c r="AE119" s="1"/>
  <c r="AV120"/>
  <c r="AW121"/>
  <c r="AX122"/>
  <c r="AV122" s="1"/>
  <c r="BH122"/>
  <c r="AD122" s="1"/>
  <c r="BI123"/>
  <c r="AE123" s="1"/>
  <c r="AV124"/>
  <c r="AW125"/>
  <c r="AX126"/>
  <c r="AV126" s="1"/>
  <c r="BH126"/>
  <c r="AD126" s="1"/>
  <c r="BI127"/>
  <c r="AE127" s="1"/>
  <c r="BH131"/>
  <c r="AD131" s="1"/>
  <c r="BI132"/>
  <c r="AE132" s="1"/>
  <c r="BH135"/>
  <c r="AD135" s="1"/>
  <c r="BI137"/>
  <c r="AE137" s="1"/>
  <c r="BH140"/>
  <c r="BI142"/>
  <c r="AE142" s="1"/>
  <c r="BH145"/>
  <c r="AD145" s="1"/>
  <c r="BI146"/>
  <c r="AE146" s="1"/>
  <c r="BH150"/>
  <c r="AD150" s="1"/>
  <c r="BI151"/>
  <c r="AE151" s="1"/>
  <c r="BH154"/>
  <c r="AD154" s="1"/>
  <c r="BI155"/>
  <c r="AE155" s="1"/>
  <c r="BH158"/>
  <c r="AD158" s="1"/>
  <c r="BI159"/>
  <c r="AE159" s="1"/>
  <c r="BH163"/>
  <c r="AD163" s="1"/>
  <c r="BI165"/>
  <c r="AE165" s="1"/>
  <c r="BH170"/>
  <c r="AD170" s="1"/>
  <c r="BI171"/>
  <c r="AE171" s="1"/>
  <c r="BH174"/>
  <c r="AD174" s="1"/>
  <c r="BI175"/>
  <c r="AE175" s="1"/>
  <c r="AX178"/>
  <c r="BC178" s="1"/>
  <c r="BI179"/>
  <c r="AE179" s="1"/>
  <c r="AW181"/>
  <c r="AX182"/>
  <c r="AV182" s="1"/>
  <c r="BH182"/>
  <c r="BI184"/>
  <c r="AE184" s="1"/>
  <c r="BH192"/>
  <c r="AD192" s="1"/>
  <c r="BI193"/>
  <c r="AE193" s="1"/>
  <c r="BC240"/>
  <c r="AW242"/>
  <c r="AX243"/>
  <c r="AV243" s="1"/>
  <c r="AX246"/>
  <c r="AV246" s="1"/>
  <c r="BH246"/>
  <c r="AX248"/>
  <c r="BC248" s="1"/>
  <c r="BI55"/>
  <c r="AC55" s="1"/>
  <c r="AV57"/>
  <c r="BH61"/>
  <c r="AB61" s="1"/>
  <c r="BI64"/>
  <c r="AC64" s="1"/>
  <c r="AV67"/>
  <c r="BH73"/>
  <c r="AB73" s="1"/>
  <c r="BI75"/>
  <c r="AC75" s="1"/>
  <c r="AV77"/>
  <c r="BH80"/>
  <c r="AB80" s="1"/>
  <c r="BI82"/>
  <c r="AC82" s="1"/>
  <c r="AV84"/>
  <c r="BH86"/>
  <c r="AB86" s="1"/>
  <c r="BI88"/>
  <c r="AC88" s="1"/>
  <c r="AV89"/>
  <c r="BH92"/>
  <c r="BI93"/>
  <c r="AV94"/>
  <c r="BH97"/>
  <c r="BI99"/>
  <c r="BH107"/>
  <c r="AD107" s="1"/>
  <c r="BI108"/>
  <c r="AE108" s="1"/>
  <c r="BI124"/>
  <c r="AE124" s="1"/>
  <c r="BI128"/>
  <c r="AV130"/>
  <c r="BH132"/>
  <c r="AD132" s="1"/>
  <c r="BI133"/>
  <c r="AE133" s="1"/>
  <c r="AV134"/>
  <c r="BH137"/>
  <c r="AD137" s="1"/>
  <c r="BI138"/>
  <c r="AE138" s="1"/>
  <c r="AV139"/>
  <c r="BH142"/>
  <c r="AD142" s="1"/>
  <c r="BI143"/>
  <c r="AE143" s="1"/>
  <c r="AV144"/>
  <c r="BH146"/>
  <c r="AD146" s="1"/>
  <c r="BI147"/>
  <c r="AE147" s="1"/>
  <c r="AV148"/>
  <c r="BH151"/>
  <c r="AD151" s="1"/>
  <c r="BI152"/>
  <c r="AE152" s="1"/>
  <c r="AV153"/>
  <c r="BH155"/>
  <c r="AD155" s="1"/>
  <c r="BI156"/>
  <c r="AE156" s="1"/>
  <c r="AV157"/>
  <c r="BH159"/>
  <c r="AD159" s="1"/>
  <c r="BI161"/>
  <c r="AE161" s="1"/>
  <c r="AV162"/>
  <c r="BH165"/>
  <c r="AD165" s="1"/>
  <c r="BI167"/>
  <c r="AE167" s="1"/>
  <c r="AV169"/>
  <c r="BH171"/>
  <c r="AD171" s="1"/>
  <c r="BI172"/>
  <c r="AE172" s="1"/>
  <c r="AV173"/>
  <c r="BH175"/>
  <c r="AD175" s="1"/>
  <c r="BI176"/>
  <c r="AE176" s="1"/>
  <c r="BH179"/>
  <c r="AD179" s="1"/>
  <c r="BI180"/>
  <c r="AE180" s="1"/>
  <c r="BH184"/>
  <c r="AD184" s="1"/>
  <c r="BI185"/>
  <c r="AE185" s="1"/>
  <c r="AV188"/>
  <c r="BH193"/>
  <c r="AD193" s="1"/>
  <c r="BI195"/>
  <c r="BH204"/>
  <c r="AD204" s="1"/>
  <c r="BI206"/>
  <c r="AE206" s="1"/>
  <c r="BH210"/>
  <c r="BI212"/>
  <c r="AE212" s="1"/>
  <c r="BH216"/>
  <c r="AD216" s="1"/>
  <c r="BI220"/>
  <c r="AE220" s="1"/>
  <c r="BH225"/>
  <c r="BI227"/>
  <c r="AE227" s="1"/>
  <c r="BH232"/>
  <c r="AD232" s="1"/>
  <c r="BH64"/>
  <c r="AB64" s="1"/>
  <c r="BH75"/>
  <c r="AB75" s="1"/>
  <c r="BI77"/>
  <c r="AC77" s="1"/>
  <c r="BH82"/>
  <c r="AB82" s="1"/>
  <c r="BI84"/>
  <c r="AC84" s="1"/>
  <c r="AV85"/>
  <c r="BH88"/>
  <c r="AB88" s="1"/>
  <c r="BI89"/>
  <c r="AC89" s="1"/>
  <c r="BH93"/>
  <c r="BI94"/>
  <c r="BH99"/>
  <c r="BI101"/>
  <c r="AV105"/>
  <c r="BH108"/>
  <c r="AD108" s="1"/>
  <c r="BH138"/>
  <c r="AD138" s="1"/>
  <c r="BI139"/>
  <c r="AE139" s="1"/>
  <c r="BH143"/>
  <c r="AD143" s="1"/>
  <c r="BI144"/>
  <c r="AE144" s="1"/>
  <c r="BH147"/>
  <c r="AD147" s="1"/>
  <c r="BI148"/>
  <c r="AE148" s="1"/>
  <c r="BH152"/>
  <c r="AD152" s="1"/>
  <c r="BI153"/>
  <c r="AE153" s="1"/>
  <c r="BH156"/>
  <c r="AD156" s="1"/>
  <c r="BI157"/>
  <c r="AE157" s="1"/>
  <c r="BH161"/>
  <c r="AD161" s="1"/>
  <c r="BI162"/>
  <c r="AE162" s="1"/>
  <c r="BH167"/>
  <c r="AD167" s="1"/>
  <c r="BI169"/>
  <c r="AE169" s="1"/>
  <c r="BH172"/>
  <c r="AD172" s="1"/>
  <c r="BI173"/>
  <c r="AE173" s="1"/>
  <c r="BH176"/>
  <c r="AD176" s="1"/>
  <c r="BI177"/>
  <c r="AE177" s="1"/>
  <c r="AV178"/>
  <c r="BH180"/>
  <c r="AD180" s="1"/>
  <c r="BI181"/>
  <c r="AE181" s="1"/>
  <c r="BH185"/>
  <c r="AD185" s="1"/>
  <c r="BI188"/>
  <c r="AE188" s="1"/>
  <c r="BH195"/>
  <c r="BI197"/>
  <c r="AE197" s="1"/>
  <c r="AV202"/>
  <c r="BH206"/>
  <c r="AD206" s="1"/>
  <c r="BI207"/>
  <c r="AE207" s="1"/>
  <c r="AV208"/>
  <c r="BH212"/>
  <c r="AD212" s="1"/>
  <c r="BI213"/>
  <c r="AE213" s="1"/>
  <c r="AV214"/>
  <c r="BH220"/>
  <c r="AD220" s="1"/>
  <c r="BI222"/>
  <c r="AE222" s="1"/>
  <c r="AV223"/>
  <c r="BH227"/>
  <c r="AD227" s="1"/>
  <c r="BI229"/>
  <c r="AE229" s="1"/>
  <c r="BH235"/>
  <c r="AD235" s="1"/>
  <c r="BI236"/>
  <c r="AE236" s="1"/>
  <c r="BH241"/>
  <c r="AF241" s="1"/>
  <c r="C18" i="1" s="1"/>
  <c r="BI242" i="3"/>
  <c r="AG242" s="1"/>
  <c r="C19" i="1" s="1"/>
  <c r="BC121" i="3" l="1"/>
  <c r="AV121"/>
  <c r="BC101"/>
  <c r="AV101"/>
  <c r="AV30"/>
  <c r="BC30"/>
  <c r="BC125"/>
  <c r="AV125"/>
  <c r="BC242"/>
  <c r="AV242"/>
  <c r="BC18"/>
  <c r="AV18"/>
  <c r="C16" i="1"/>
  <c r="BC117" i="3"/>
  <c r="BC182"/>
  <c r="BC246"/>
  <c r="AV42"/>
  <c r="AT13"/>
  <c r="C28" i="1"/>
  <c r="BC181" i="3"/>
  <c r="AV181"/>
  <c r="BC113"/>
  <c r="AV113"/>
  <c r="BC28"/>
  <c r="AV28"/>
  <c r="BC243"/>
  <c r="C15" i="1"/>
  <c r="C22" s="1"/>
  <c r="F28" l="1"/>
  <c r="I28"/>
  <c r="I29" l="1"/>
</calcChain>
</file>

<file path=xl/sharedStrings.xml><?xml version="1.0" encoding="utf-8"?>
<sst xmlns="http://schemas.openxmlformats.org/spreadsheetml/2006/main" count="2063" uniqueCount="687">
  <si>
    <t>Krycí list slepého rozpočtu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</si>
  <si>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</si>
  <si>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</si>
  <si>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</si>
  <si>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</si>
  <si>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</si>
  <si>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</si>
  <si>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</si>
  <si>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</si>
  <si>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</si>
  <si>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</si>
  <si>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</si>
  <si>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</si>
  <si>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</si>
  <si>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</si>
  <si>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</si>
  <si>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</si>
  <si>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</si>
  <si>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</si>
  <si>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</si>
  <si>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</si>
  <si>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</si>
  <si>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</si>
  <si>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</si>
  <si>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</si>
  <si>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</si>
  <si>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</si>
  <si>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</si>
  <si>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</si>
  <si>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</si>
  <si>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</si>
  <si>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</si>
  <si>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</si>
  <si>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</si>
  <si>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</si>
  <si>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</si>
  <si>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</si>
  <si>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</si>
  <si>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</si>
  <si>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</si>
  <si>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</si>
  <si>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</si>
  <si>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</si>
  <si>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</si>
  <si>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</si>
  <si>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</si>
  <si>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</si>
  <si>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</si>
  <si>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</si>
  <si>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</si>
  <si>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</si>
  <si>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</si>
  <si>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</si>
  <si>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</si>
  <si>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</si>
  <si>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</si>
  <si>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</si>
  <si>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</si>
  <si>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</si>
  <si>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</si>
  <si>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</si>
  <si>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</si>
  <si>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</si>
  <si>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</si>
  <si>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</si>
  <si>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</si>
  <si>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</si>
  <si>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</si>
  <si>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Průzkumy, geodetické a projektové práce</t>
  </si>
  <si>
    <t>Příprava staveniště</t>
  </si>
  <si>
    <t>Inženýrské činnosti</t>
  </si>
  <si>
    <t>Finanční náklady</t>
  </si>
  <si>
    <t>Náklady na pracovníky</t>
  </si>
  <si>
    <t>Ostatní náklady</t>
  </si>
  <si>
    <t>Vlastní VORN</t>
  </si>
  <si>
    <t>Celkem VORN</t>
  </si>
  <si>
    <t>Slepý stavební rozpočet</t>
  </si>
  <si>
    <t>106-2025 Haškova 2168/6 , byt č. 7  Žďár nad Sázavou</t>
  </si>
  <si>
    <t>Doba výstavby:</t>
  </si>
  <si>
    <t xml:space="preserve"> </t>
  </si>
  <si>
    <t> </t>
  </si>
  <si>
    <t>Oprava bytu 1+1,  3.NP</t>
  </si>
  <si>
    <t>Zpracováno dne:</t>
  </si>
  <si>
    <t>Č</t>
  </si>
  <si>
    <t>Kód</t>
  </si>
  <si>
    <t>Zkrácený popis / Varianta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</si>
  <si>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</si>
  <si>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</si>
  <si>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</si>
  <si>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</si>
  <si>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</si>
  <si>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</si>
  <si>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</si>
  <si>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</si>
  <si>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</si>
  <si>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</si>
  <si>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</si>
  <si>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</si>
  <si>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</si>
  <si>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</si>
  <si>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</si>
  <si>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</si>
  <si>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</si>
  <si>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</si>
  <si>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</si>
  <si>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</si>
  <si>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</si>
  <si>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</si>
  <si>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Nezařazeno</t>
  </si>
  <si>
    <t>34</t>
  </si>
  <si>
    <t>Stěny a příčky</t>
  </si>
  <si>
    <t>1</t>
  </si>
  <si>
    <t>310235251RT2</t>
  </si>
  <si>
    <t>Zazdívka otvorů pl.0,0225 m2 cihlami, tl.zdi 45 cm</t>
  </si>
  <si>
    <t>kus</t>
  </si>
  <si>
    <t>34_</t>
  </si>
  <si>
    <t>_3_</t>
  </si>
  <si>
    <t>_</t>
  </si>
  <si>
    <t>P</t>
  </si>
  <si>
    <t>Varianta:</t>
  </si>
  <si>
    <t>s použitím suché maltové směsi</t>
  </si>
  <si>
    <t>2</t>
  </si>
  <si>
    <t>342270040RA0</t>
  </si>
  <si>
    <t>Příčka z desek  Pórobetonových hladkých, tloušťka 5 cm</t>
  </si>
  <si>
    <t>m2</t>
  </si>
  <si>
    <t>0,9*2,6-0,5*0,5</t>
  </si>
  <si>
    <t>koupelna obezdění šachty</t>
  </si>
  <si>
    <t>3</t>
  </si>
  <si>
    <t>342270042RA0</t>
  </si>
  <si>
    <t>Příčka z desek  Pórobetonových hladkých, tloušťka 10 cm</t>
  </si>
  <si>
    <t>(1,55*2+2,8+3,45)*2,6</t>
  </si>
  <si>
    <t>bytové jádro</t>
  </si>
  <si>
    <t>-0,8*2*2-0,7*2</t>
  </si>
  <si>
    <t>4</t>
  </si>
  <si>
    <t>317121047RT2</t>
  </si>
  <si>
    <t>Překlad nenosný pórobetonový, světlost otvoru do 1050 mm</t>
  </si>
  <si>
    <t>překlad nenosný  124 x 24,9 x 10 cm</t>
  </si>
  <si>
    <t>5</t>
  </si>
  <si>
    <t>342668111R00</t>
  </si>
  <si>
    <t>Těsnění styku příčky se stáv. konstrukcí PU pěnou</t>
  </si>
  <si>
    <t>m</t>
  </si>
  <si>
    <t>(1,55*2+2,8+3,45)</t>
  </si>
  <si>
    <t>6</t>
  </si>
  <si>
    <t>342948111R00</t>
  </si>
  <si>
    <t>Ukotvení příček ke konstrukci kotvami na hmoždinky</t>
  </si>
  <si>
    <t>2,6*4</t>
  </si>
  <si>
    <t>61</t>
  </si>
  <si>
    <t>Úprava povrchů vnitřní</t>
  </si>
  <si>
    <t>7</t>
  </si>
  <si>
    <t>611421321R00</t>
  </si>
  <si>
    <t>Oprava váp.omítek stropů do 30% plochy - hladkých</t>
  </si>
  <si>
    <t>61_</t>
  </si>
  <si>
    <t>_6_</t>
  </si>
  <si>
    <t>19,67+9,75+5,74+2,56+1,11</t>
  </si>
  <si>
    <t>8</t>
  </si>
  <si>
    <t>620991111R00</t>
  </si>
  <si>
    <t>Zakrývání spár panelů páskou</t>
  </si>
  <si>
    <t>5*3,45</t>
  </si>
  <si>
    <t>9</t>
  </si>
  <si>
    <t>601016191R00</t>
  </si>
  <si>
    <t>Penetrační nátěr stropů</t>
  </si>
  <si>
    <t>10</t>
  </si>
  <si>
    <t>611471411R00</t>
  </si>
  <si>
    <t>Úprava stropů aktivovaným štukem tl. 2 - 3 mm</t>
  </si>
  <si>
    <t>11</t>
  </si>
  <si>
    <t>602016191R00</t>
  </si>
  <si>
    <t>Penetrační nátěr stěn</t>
  </si>
  <si>
    <t>(3,45+2,75)*2*2,6-0,8*2*3-0,7*2*2</t>
  </si>
  <si>
    <t>chodba</t>
  </si>
  <si>
    <t>(1,1+0,9)*2*2,6-0,7*2</t>
  </si>
  <si>
    <t>WC</t>
  </si>
  <si>
    <t>(1,55+1,7)*2*2,6-0,7*2</t>
  </si>
  <si>
    <t>koupelna</t>
  </si>
  <si>
    <t>(3,45+2,7)*2*2,6-0,8*2-2,12*1,62</t>
  </si>
  <si>
    <t>kuchyň</t>
  </si>
  <si>
    <t>(3,45+5,6)*2*2,6-0,8*2-2,12*1,62</t>
  </si>
  <si>
    <t>pokoj</t>
  </si>
  <si>
    <t>(2,12+1,62*2)*0,2*2</t>
  </si>
  <si>
    <t>ostění otvorů</t>
  </si>
  <si>
    <t>(1+2,1*2)*0,2</t>
  </si>
  <si>
    <t>12</t>
  </si>
  <si>
    <t>612403399R00</t>
  </si>
  <si>
    <t>Hrubá výplň rýh ve stěnách maltou</t>
  </si>
  <si>
    <t>50*0,1</t>
  </si>
  <si>
    <t>po instalacích</t>
  </si>
  <si>
    <t>13</t>
  </si>
  <si>
    <t>612421321R00</t>
  </si>
  <si>
    <t>Oprava vápen.omítek stěn do 30 % pl. - hladkých</t>
  </si>
  <si>
    <t>121,296-21,8</t>
  </si>
  <si>
    <t>14</t>
  </si>
  <si>
    <t>612471411RT2</t>
  </si>
  <si>
    <t>Úprava vnitřních stěn aktivovaným štukem</t>
  </si>
  <si>
    <t>(1,1+0,9)*2*0,8</t>
  </si>
  <si>
    <t>WC nad obklady</t>
  </si>
  <si>
    <t>(1,55+1,7)*2*0,5</t>
  </si>
  <si>
    <t>koupelna nad obklady</t>
  </si>
  <si>
    <t>15</t>
  </si>
  <si>
    <t>612421626R00</t>
  </si>
  <si>
    <t>Omítka vnitřní zdiva, MVC, hladká</t>
  </si>
  <si>
    <t>21,728</t>
  </si>
  <si>
    <t>pod obklady</t>
  </si>
  <si>
    <t>16</t>
  </si>
  <si>
    <t>610991111R00</t>
  </si>
  <si>
    <t>Zakrývání výplní vnitřních otvorů</t>
  </si>
  <si>
    <t>2,12*1,62*3</t>
  </si>
  <si>
    <t>okna</t>
  </si>
  <si>
    <t>17</t>
  </si>
  <si>
    <t>612481211RT2</t>
  </si>
  <si>
    <t>Montáž výztužné sítě(perlinky)do stěrky-vnit.stěny</t>
  </si>
  <si>
    <t>včetně výztužné sítě a stěrkového tmelu</t>
  </si>
  <si>
    <t>18</t>
  </si>
  <si>
    <t>642942111RT3</t>
  </si>
  <si>
    <t>Osazení zárubní dveřních ocelových, pl. do 2,5 m2</t>
  </si>
  <si>
    <t>včetně dodávky zárubně 700 x 1970 x 100 mm</t>
  </si>
  <si>
    <t>19</t>
  </si>
  <si>
    <t>642942111RT4</t>
  </si>
  <si>
    <t>včetně dodávky zárubně 800 x 1970 x 100 mm</t>
  </si>
  <si>
    <t>63</t>
  </si>
  <si>
    <t>Podlahy a podlahové konstrukce</t>
  </si>
  <si>
    <t>20</t>
  </si>
  <si>
    <t>632451441R00</t>
  </si>
  <si>
    <t>Doplnění potěru plochy do 1 m2, tl. 30 - 40 mm</t>
  </si>
  <si>
    <t>63_</t>
  </si>
  <si>
    <t>1,08</t>
  </si>
  <si>
    <t>2,64</t>
  </si>
  <si>
    <t>21</t>
  </si>
  <si>
    <t>632411110RT2</t>
  </si>
  <si>
    <t>Samonivelační stěrka , ruční zpracování tl. 10 mm</t>
  </si>
  <si>
    <t>samonivelační polymercementová stěrka  30 MPa</t>
  </si>
  <si>
    <t>22</t>
  </si>
  <si>
    <t>632411904R00</t>
  </si>
  <si>
    <t>Penetrace savých podkladů  0,25 l/m2</t>
  </si>
  <si>
    <t>95</t>
  </si>
  <si>
    <t>Různé dokončovací konstrukce a práce na pozemních stavbách</t>
  </si>
  <si>
    <t>23</t>
  </si>
  <si>
    <t>900      R01</t>
  </si>
  <si>
    <t>HZS - drobné nezměřitelné práce</t>
  </si>
  <si>
    <t>h</t>
  </si>
  <si>
    <t>95_</t>
  </si>
  <si>
    <t>_9_</t>
  </si>
  <si>
    <t>stavební dělník</t>
  </si>
  <si>
    <t>24</t>
  </si>
  <si>
    <t>952901111R00</t>
  </si>
  <si>
    <t>Vyčištění budov o výšce podlaží do 4 m</t>
  </si>
  <si>
    <t>25</t>
  </si>
  <si>
    <t>953943111R00</t>
  </si>
  <si>
    <t>Osazení kovových předmětů do zdiva, 1 kg / kus</t>
  </si>
  <si>
    <t>instal. dvířka</t>
  </si>
  <si>
    <t>26</t>
  </si>
  <si>
    <t>952902110RVV</t>
  </si>
  <si>
    <t>Zametání a vytírání v místnostech, chodbách, na  schodišti</t>
  </si>
  <si>
    <t>KPL.</t>
  </si>
  <si>
    <t xml:space="preserve"> v průběhu rekonstrukce</t>
  </si>
  <si>
    <t>27</t>
  </si>
  <si>
    <t>553476578</t>
  </si>
  <si>
    <t>Dvířka revizní do zdiva 500 x 500 mm, tl.12,5 mm - vlhké prostředí pro montáž obkladů - dle vzorkování</t>
  </si>
  <si>
    <t>M</t>
  </si>
  <si>
    <t>96</t>
  </si>
  <si>
    <t>Bourání konstrukcí</t>
  </si>
  <si>
    <t>28</t>
  </si>
  <si>
    <t>968061125R00</t>
  </si>
  <si>
    <t>Vyvěšení dřevěných dveřních křídel pl. do 2 m2</t>
  </si>
  <si>
    <t>96_</t>
  </si>
  <si>
    <t>29</t>
  </si>
  <si>
    <t>965044121R00</t>
  </si>
  <si>
    <t>Bourání podkladů bet., tl. 4 cm, s rabic.pletivem</t>
  </si>
  <si>
    <t>30</t>
  </si>
  <si>
    <t>962084131R00</t>
  </si>
  <si>
    <t>Bourání příček deskových  tl.10 cm</t>
  </si>
  <si>
    <t>1,25*2,6-0,8*2</t>
  </si>
  <si>
    <t>31</t>
  </si>
  <si>
    <t>9620. 1</t>
  </si>
  <si>
    <t>Demontáž byt. jádra, vč. zařizovacích předmětů, vč. likvidace do sutě</t>
  </si>
  <si>
    <t>32</t>
  </si>
  <si>
    <t>965048515R00</t>
  </si>
  <si>
    <t>Broušení betonových povrchů do tl. 5 mm</t>
  </si>
  <si>
    <t>19,67+9,75+5,74</t>
  </si>
  <si>
    <t>stáv. místnosti, po odstranění PVC</t>
  </si>
  <si>
    <t>33</t>
  </si>
  <si>
    <t>979011111R00</t>
  </si>
  <si>
    <t>Svislá doprava suti a vybour. hmot za 2.NP a 1.PP</t>
  </si>
  <si>
    <t>t</t>
  </si>
  <si>
    <t>979011121R00</t>
  </si>
  <si>
    <t>Příplatek za každé další podlaží</t>
  </si>
  <si>
    <t>35</t>
  </si>
  <si>
    <t>979081111R00</t>
  </si>
  <si>
    <t>Odvoz suti a vybour. hmot na skládku do 1 km</t>
  </si>
  <si>
    <t>36</t>
  </si>
  <si>
    <t>979081121R00</t>
  </si>
  <si>
    <t>Příplatek k odvozu za každý další 1 km</t>
  </si>
  <si>
    <t>2,538*3</t>
  </si>
  <si>
    <t>37</t>
  </si>
  <si>
    <t>979082111R00</t>
  </si>
  <si>
    <t>Vnitrostaveništní doprava suti do 10 m</t>
  </si>
  <si>
    <t>38</t>
  </si>
  <si>
    <t>979082121R00</t>
  </si>
  <si>
    <t>Příplatek k vnitrost. dopravě suti za dalších 5 m</t>
  </si>
  <si>
    <t>2,538*4</t>
  </si>
  <si>
    <t>39</t>
  </si>
  <si>
    <t>979990107R00</t>
  </si>
  <si>
    <t>Poplatek za uložení suti - směs betonu, cihel, dřeva, skupina odpadu 170904</t>
  </si>
  <si>
    <t>2,538-0,235</t>
  </si>
  <si>
    <t>40</t>
  </si>
  <si>
    <t>979990181R00</t>
  </si>
  <si>
    <t>Poplatek za uložení suti - PVC podlahová krytina, skupina odpadu 200307</t>
  </si>
  <si>
    <t>53,5*0,0035</t>
  </si>
  <si>
    <t>PVC</t>
  </si>
  <si>
    <t>59,67*0,0008</t>
  </si>
  <si>
    <t>sokl PVC</t>
  </si>
  <si>
    <t>99</t>
  </si>
  <si>
    <t>Staveništní přesun hmot</t>
  </si>
  <si>
    <t>41</t>
  </si>
  <si>
    <t>999281108R00</t>
  </si>
  <si>
    <t>Přesun hmot pro opravy a údržbu do výšky 12 m</t>
  </si>
  <si>
    <t>99_</t>
  </si>
  <si>
    <t>711</t>
  </si>
  <si>
    <t>Izolace proti vodě</t>
  </si>
  <si>
    <t>42</t>
  </si>
  <si>
    <t>711212000R00</t>
  </si>
  <si>
    <t>Penetrace podkladu pod hydroizolační hmoty, včetně dodávky</t>
  </si>
  <si>
    <t>711_</t>
  </si>
  <si>
    <t>_71_</t>
  </si>
  <si>
    <t>43</t>
  </si>
  <si>
    <t>711212002RT3</t>
  </si>
  <si>
    <t>Stěrka hydroizolační, vč. dodávky HI hmoty</t>
  </si>
  <si>
    <t xml:space="preserve"> tl. 2 mm</t>
  </si>
  <si>
    <t>1,55*1,7</t>
  </si>
  <si>
    <t>koupelna podlaha</t>
  </si>
  <si>
    <t>(1,55+1,7)*2*0,3-0,8*0,3</t>
  </si>
  <si>
    <t>sokl</t>
  </si>
  <si>
    <t>(1,1+1,1)*2,1</t>
  </si>
  <si>
    <t>sprcha svisle</t>
  </si>
  <si>
    <t>44</t>
  </si>
  <si>
    <t>711212601RT2</t>
  </si>
  <si>
    <t>Utěsnění detailů při stěrkových hydroizolacích, těsnicí pás do spoje podlaha - stěna</t>
  </si>
  <si>
    <t>100 mm</t>
  </si>
  <si>
    <t>(1,55+1,7)*2-0,8</t>
  </si>
  <si>
    <t>koupelna sokl</t>
  </si>
  <si>
    <t>2,1</t>
  </si>
  <si>
    <t>svisle sprcha</t>
  </si>
  <si>
    <t>45</t>
  </si>
  <si>
    <t>998711102R00</t>
  </si>
  <si>
    <t>Přesun hmot pro izolace proti vodě, výšky do 12 m</t>
  </si>
  <si>
    <t>721</t>
  </si>
  <si>
    <t>Vnitřní kanalizace</t>
  </si>
  <si>
    <t>46</t>
  </si>
  <si>
    <t>721140935R00</t>
  </si>
  <si>
    <t>Provedení opravy vnitřní kanalizace, potrubí litinové, přechod z plastových trub na litinu,DN 100 mm</t>
  </si>
  <si>
    <t>721_</t>
  </si>
  <si>
    <t>_72_</t>
  </si>
  <si>
    <t>47</t>
  </si>
  <si>
    <t>721176103R00</t>
  </si>
  <si>
    <t>Potrubí HT připojovací, D 50 x 1,8 mm</t>
  </si>
  <si>
    <t>48</t>
  </si>
  <si>
    <t>721176105R00</t>
  </si>
  <si>
    <t>Potrubí HT připojovací, D 110 x 2,7 mm</t>
  </si>
  <si>
    <t>49</t>
  </si>
  <si>
    <t>721176115R00</t>
  </si>
  <si>
    <t>Potrubí HT odpadní svislé, D 110 x 2,7 mm</t>
  </si>
  <si>
    <t>50</t>
  </si>
  <si>
    <t>721194105R00</t>
  </si>
  <si>
    <t>Vyvedení odpadních výpustek, D 50 x 1,8 mm</t>
  </si>
  <si>
    <t>51</t>
  </si>
  <si>
    <t>721194109R00</t>
  </si>
  <si>
    <t>Vyvedení odpadních výpustek, D 110 x 2,3 mm</t>
  </si>
  <si>
    <t>52</t>
  </si>
  <si>
    <t>230120046R00</t>
  </si>
  <si>
    <t>Čištění potrubí profukováním nebo proplach. DN 100</t>
  </si>
  <si>
    <t>53</t>
  </si>
  <si>
    <t>721290111R00</t>
  </si>
  <si>
    <t>Zkouška těsnosti kanalizace vodou DN 125 mm</t>
  </si>
  <si>
    <t>54</t>
  </si>
  <si>
    <t>721176212R00</t>
  </si>
  <si>
    <t>Potrubí KG odpadní svislé, D 110 x 3,2 mm</t>
  </si>
  <si>
    <t>55</t>
  </si>
  <si>
    <t>998721102R00</t>
  </si>
  <si>
    <t>Přesun hmot pro vnitřní kanalizaci, výšky do 12 m</t>
  </si>
  <si>
    <t>722</t>
  </si>
  <si>
    <t>Vnitřní vodovod</t>
  </si>
  <si>
    <t>56</t>
  </si>
  <si>
    <t>722130913R00</t>
  </si>
  <si>
    <t>Provedení opravy závitového potrubí, přeřezání ocelové trubky do DN 25 mm</t>
  </si>
  <si>
    <t>722_</t>
  </si>
  <si>
    <t>57</t>
  </si>
  <si>
    <t>722260921R00</t>
  </si>
  <si>
    <t>Zpětná montáž vodoměrů závitových G 1/2"</t>
  </si>
  <si>
    <t>58</t>
  </si>
  <si>
    <t>722172631R00</t>
  </si>
  <si>
    <t>Potrubí plastové PP-R Instaplast, bez zednických výpomocí, D 20 x 3,4 mm, PN 20</t>
  </si>
  <si>
    <t>59</t>
  </si>
  <si>
    <t>722220111R00</t>
  </si>
  <si>
    <t>Nástěnka K 247, pro výtokový ventil G 1/2"</t>
  </si>
  <si>
    <t>60</t>
  </si>
  <si>
    <t>722220121R00</t>
  </si>
  <si>
    <t>Nástěnka K 247, pro baterii G 1/2"</t>
  </si>
  <si>
    <t>pár</t>
  </si>
  <si>
    <t>722181214RT8</t>
  </si>
  <si>
    <t>Izolace návleková  tl. stěny 20 mm</t>
  </si>
  <si>
    <t>vnitřní průměr 25 mm</t>
  </si>
  <si>
    <t>62</t>
  </si>
  <si>
    <t>722190401R00</t>
  </si>
  <si>
    <t>Vyvedení a upevnění výpustek DN 15 mm</t>
  </si>
  <si>
    <t>722290234R00</t>
  </si>
  <si>
    <t>Proplach a dezinfekce vodovodního potrubí DN 80 mm</t>
  </si>
  <si>
    <t>64</t>
  </si>
  <si>
    <t>722280106R00</t>
  </si>
  <si>
    <t>Tlaková zkouška vodovodního potrubí DN 32 mm</t>
  </si>
  <si>
    <t>65</t>
  </si>
  <si>
    <t>998722102R00</t>
  </si>
  <si>
    <t>Přesun hmot pro vnitřní vodovod, výšky do 12 m</t>
  </si>
  <si>
    <t>725</t>
  </si>
  <si>
    <t>Zařizovací předměty</t>
  </si>
  <si>
    <t>66</t>
  </si>
  <si>
    <t>725219401R00</t>
  </si>
  <si>
    <t>Montáž umyvadel na šrouby do zdiva</t>
  </si>
  <si>
    <t>soubor</t>
  </si>
  <si>
    <t>725_</t>
  </si>
  <si>
    <t>67</t>
  </si>
  <si>
    <t>725017153R00</t>
  </si>
  <si>
    <t>Umyvadlo invalidní dle vzorníku</t>
  </si>
  <si>
    <t>68</t>
  </si>
  <si>
    <t>725860213R00</t>
  </si>
  <si>
    <t>Sifon podomítkový umyvadlový</t>
  </si>
  <si>
    <t>69</t>
  </si>
  <si>
    <t>725860107R00</t>
  </si>
  <si>
    <t>Uzávěrka zápachová umyvadlová T 1015, D 40 mm</t>
  </si>
  <si>
    <t>70</t>
  </si>
  <si>
    <t>725829301R00</t>
  </si>
  <si>
    <t>Montáž baterie umyvadlové a dřezové stojánkové</t>
  </si>
  <si>
    <t>71</t>
  </si>
  <si>
    <t>725849201R00</t>
  </si>
  <si>
    <t>Montáž baterií sprchových, pevná výška</t>
  </si>
  <si>
    <t>72</t>
  </si>
  <si>
    <t>725860181RT1</t>
  </si>
  <si>
    <t>Sifon pračkový HL404.1, D 40/50 mm nerezový</t>
  </si>
  <si>
    <t>podomít.uzáv. s přivzd.vent. krycí deska 225x100mm</t>
  </si>
  <si>
    <t>73</t>
  </si>
  <si>
    <t>725860222R00</t>
  </si>
  <si>
    <t>Sifon sprchový PP HL514SN, D 40/50 mm</t>
  </si>
  <si>
    <t>74</t>
  </si>
  <si>
    <t>725810402R00</t>
  </si>
  <si>
    <t>Ventil rohový bez přípojovací trubičky TE 66 G 1/2"</t>
  </si>
  <si>
    <t>75</t>
  </si>
  <si>
    <t>72582</t>
  </si>
  <si>
    <t>Baterie  nástěnná koupelna umyvadlo</t>
  </si>
  <si>
    <t>76</t>
  </si>
  <si>
    <t>725845111R00</t>
  </si>
  <si>
    <t>Baterie sprchová nástěnná ruční, bez příslušenství</t>
  </si>
  <si>
    <t>77</t>
  </si>
  <si>
    <t>725814125R00</t>
  </si>
  <si>
    <t>Ventil pračkový   DN 20 mm</t>
  </si>
  <si>
    <t>78</t>
  </si>
  <si>
    <t>725119305R00</t>
  </si>
  <si>
    <t>Montáž klozetových mís kombinovaných</t>
  </si>
  <si>
    <t>79</t>
  </si>
  <si>
    <t>725013128R00</t>
  </si>
  <si>
    <t>Klozet kombi  ZTP, nádrž s armaturou, odpad svislý, bílý</t>
  </si>
  <si>
    <t>80</t>
  </si>
  <si>
    <t>55428097.A</t>
  </si>
  <si>
    <t>Sprchová zástěna čtvrtkruhový , 900 x 900 mm - dle vzorkování</t>
  </si>
  <si>
    <t>81</t>
  </si>
  <si>
    <t>55423038.A</t>
  </si>
  <si>
    <t>Sprchová vanička čtvrt kruh  900 x 900 mm  - dle vzorkování</t>
  </si>
  <si>
    <t>82</t>
  </si>
  <si>
    <t>725590812R00</t>
  </si>
  <si>
    <t>Přesun vybouraných hmot, zařizovací předměty H 12 m</t>
  </si>
  <si>
    <t>728</t>
  </si>
  <si>
    <t>Vzduchotechnika</t>
  </si>
  <si>
    <t>83</t>
  </si>
  <si>
    <t>72855</t>
  </si>
  <si>
    <t>Vzduchotechnika - odtah od odsavače</t>
  </si>
  <si>
    <t>728_</t>
  </si>
  <si>
    <t>84</t>
  </si>
  <si>
    <t>728415111R00</t>
  </si>
  <si>
    <t>Montáž mřížky větrací nebo ventilační do 0,04 m2</t>
  </si>
  <si>
    <t>85</t>
  </si>
  <si>
    <t>429727810</t>
  </si>
  <si>
    <t>Mřížka kruhová PVC průměr 100 mm</t>
  </si>
  <si>
    <t>735</t>
  </si>
  <si>
    <t>Otopná tělesa</t>
  </si>
  <si>
    <t>86</t>
  </si>
  <si>
    <t>730. 1</t>
  </si>
  <si>
    <t>Demont a zpětná montáž radiatorů ÚT</t>
  </si>
  <si>
    <t>735_</t>
  </si>
  <si>
    <t>_73_</t>
  </si>
  <si>
    <t>766</t>
  </si>
  <si>
    <t>Konstrukce truhlářské</t>
  </si>
  <si>
    <t>87</t>
  </si>
  <si>
    <t>766662811R00</t>
  </si>
  <si>
    <t>Demontáž prahů dveří 1křídlových</t>
  </si>
  <si>
    <t>766_</t>
  </si>
  <si>
    <t>_76_</t>
  </si>
  <si>
    <t>88</t>
  </si>
  <si>
    <t>766812840R00</t>
  </si>
  <si>
    <t>Demontáž kuchyňských linek do 2,1 m</t>
  </si>
  <si>
    <t>89</t>
  </si>
  <si>
    <t>766825811R00</t>
  </si>
  <si>
    <t>Demontáž vestavěných skříní 1křídlových</t>
  </si>
  <si>
    <t>90</t>
  </si>
  <si>
    <t>766825821R00</t>
  </si>
  <si>
    <t>Demontáž vestavěných skříní 2křídlových</t>
  </si>
  <si>
    <t>91</t>
  </si>
  <si>
    <t>766661112R00</t>
  </si>
  <si>
    <t>Montáž dveří do zárubně,otevíravých 1kř.do 0,8 m</t>
  </si>
  <si>
    <t>92</t>
  </si>
  <si>
    <t>766661412R00</t>
  </si>
  <si>
    <t>Montáž dveří protipožár.1kř.do 80 cm, s kukátkem</t>
  </si>
  <si>
    <t>93</t>
  </si>
  <si>
    <t>766812115R00</t>
  </si>
  <si>
    <t>Montáž kuchyňských linek dřevěných linek š.do 2,4m</t>
  </si>
  <si>
    <t>94</t>
  </si>
  <si>
    <t>766. 1</t>
  </si>
  <si>
    <t>Dodávka kuchyňská linka - dle schématu " kuchyně Haškova "</t>
  </si>
  <si>
    <t>766. 2</t>
  </si>
  <si>
    <t>Demontáž garnýže, vč. likvidace</t>
  </si>
  <si>
    <t>ks</t>
  </si>
  <si>
    <t>766. 3</t>
  </si>
  <si>
    <t>Vyštelování stávajících plastových výplní oken, doplnění chybějících prvků</t>
  </si>
  <si>
    <t>97</t>
  </si>
  <si>
    <t>6116. 1</t>
  </si>
  <si>
    <t>Dveře vnitřní hladké 1 křídl. bílé, 2/3 sklo 800 x 1970 mm, CPL, DTD výplň, sklo bezpečnostní, kování, zámek - vše dle standarů</t>
  </si>
  <si>
    <t>98</t>
  </si>
  <si>
    <t>6116. 3</t>
  </si>
  <si>
    <t>Dveře vnitřní hladké 1 křídl. bílé, plné  700 x 1970 mm, CPL, DTD , kování, zámek - vše dle standarů</t>
  </si>
  <si>
    <t>Dveře vnitřní hladké 1 křídl. bílé, plné  800 x 1970 mm, CPL, DTD , kování, zámek - vše dle standarů</t>
  </si>
  <si>
    <t>100</t>
  </si>
  <si>
    <t>6116. 4</t>
  </si>
  <si>
    <t>Dveře vnitřní vchodové  800 x 1970 mm, EW EI 30 min, bezpeč. kování a zámek, kukátko - vše dle standardů</t>
  </si>
  <si>
    <t>101</t>
  </si>
  <si>
    <t>998766102R00</t>
  </si>
  <si>
    <t>Přesun hmot pro truhlářské konstr., výšky do 12 m</t>
  </si>
  <si>
    <t>771</t>
  </si>
  <si>
    <t>Podlahy z dlaždic</t>
  </si>
  <si>
    <t>102</t>
  </si>
  <si>
    <t>771101210R00</t>
  </si>
  <si>
    <t>Penetrace podkladu pod dlažby</t>
  </si>
  <si>
    <t>771_</t>
  </si>
  <si>
    <t>_77_</t>
  </si>
  <si>
    <t>103</t>
  </si>
  <si>
    <t>771575109R00</t>
  </si>
  <si>
    <t>Montáž keramické dlažby, hladké, na tmel, 300 x 300 m</t>
  </si>
  <si>
    <t>2,56</t>
  </si>
  <si>
    <t>1,11</t>
  </si>
  <si>
    <t>104</t>
  </si>
  <si>
    <t>771578011R00</t>
  </si>
  <si>
    <t>Spára podlaha - stěna, silikonem</t>
  </si>
  <si>
    <t>koupelna vodorovně</t>
  </si>
  <si>
    <t>4*2,1</t>
  </si>
  <si>
    <t>svisle</t>
  </si>
  <si>
    <t>0,6</t>
  </si>
  <si>
    <t>kuchyň. linka</t>
  </si>
  <si>
    <t>105</t>
  </si>
  <si>
    <t>771579791R00</t>
  </si>
  <si>
    <t>Příplatek za plochu podlah keram. do 5 m2 jednotl.</t>
  </si>
  <si>
    <t>106</t>
  </si>
  <si>
    <t>59764231</t>
  </si>
  <si>
    <t>Dlažba protiskluzná 300 x 300 x 9 mm, dle vzorkování, dle standardů</t>
  </si>
  <si>
    <t>3,67*1,1</t>
  </si>
  <si>
    <t>107</t>
  </si>
  <si>
    <t>998771102R00</t>
  </si>
  <si>
    <t>Přesun hmot pro podlahy z dlaždic, výšky do 12 m</t>
  </si>
  <si>
    <t>776</t>
  </si>
  <si>
    <t>Podlahy povlakové</t>
  </si>
  <si>
    <t>108</t>
  </si>
  <si>
    <t>776401800R00</t>
  </si>
  <si>
    <t>Demontáž soklíků nebo lišt, pryžových nebo z PVC</t>
  </si>
  <si>
    <t>776_</t>
  </si>
  <si>
    <t>(3,45+4,455)*2-0,8</t>
  </si>
  <si>
    <t>(3,45+2,75)*2-0,8*3-0,6*2</t>
  </si>
  <si>
    <t>(3,45+2,7)*2-0,8</t>
  </si>
  <si>
    <t>(3,45+5,6)*2-0,8</t>
  </si>
  <si>
    <t>109</t>
  </si>
  <si>
    <t>776511810R00</t>
  </si>
  <si>
    <t>Odstranění PVC a koberců lepených bez podložky</t>
  </si>
  <si>
    <t>110</t>
  </si>
  <si>
    <t>776421100RU1</t>
  </si>
  <si>
    <t>Lepení podlahových soklíků z PVC a vinylu</t>
  </si>
  <si>
    <t>včetně dodávky soklíku PVC</t>
  </si>
  <si>
    <t>111</t>
  </si>
  <si>
    <t>776521200R00</t>
  </si>
  <si>
    <t>Lepení povlakových podlah z dílců PVC a CV (vinyl)</t>
  </si>
  <si>
    <t>112</t>
  </si>
  <si>
    <t>776. 1</t>
  </si>
  <si>
    <t>Provedení spoje PVC - dlažba bez přechodových lišt</t>
  </si>
  <si>
    <t>113</t>
  </si>
  <si>
    <t>2841</t>
  </si>
  <si>
    <t>Dodávka podlahovina PVC - dle Standardu a vzorkování</t>
  </si>
  <si>
    <t>35,16*1,1</t>
  </si>
  <si>
    <t>114</t>
  </si>
  <si>
    <t>998776102R00</t>
  </si>
  <si>
    <t>Přesun hmot pro podlahy povlakové, výšky do 12 m</t>
  </si>
  <si>
    <t>777</t>
  </si>
  <si>
    <t>Podlahy ze syntetických hmot</t>
  </si>
  <si>
    <t>115</t>
  </si>
  <si>
    <t>777553010R00</t>
  </si>
  <si>
    <t>Penetrace savého podkladu disperzí</t>
  </si>
  <si>
    <t>777_</t>
  </si>
  <si>
    <t>116</t>
  </si>
  <si>
    <t>777553210R00</t>
  </si>
  <si>
    <t>Vyrovnání podlah, samonivel. hmota  tl. 2mm</t>
  </si>
  <si>
    <t>117</t>
  </si>
  <si>
    <t>998777102R00</t>
  </si>
  <si>
    <t>Přesun hmot pro podlahy syntetické, výšky do 12 m</t>
  </si>
  <si>
    <t>781</t>
  </si>
  <si>
    <t>Obklady (keramické)</t>
  </si>
  <si>
    <t>118</t>
  </si>
  <si>
    <t>781475115R00</t>
  </si>
  <si>
    <t>Obklad vnitřní stěn keramický, do tmele, 25x25 cm</t>
  </si>
  <si>
    <t>781_</t>
  </si>
  <si>
    <t>_78_</t>
  </si>
  <si>
    <t>(0,9+2,4)*0,6+(0,5+0,25)*0,85</t>
  </si>
  <si>
    <t>(1,1+0,9)*2*1,8-0,7*0,2</t>
  </si>
  <si>
    <t>(1,55+1,7)*2*2,1-0,8*2</t>
  </si>
  <si>
    <t>119</t>
  </si>
  <si>
    <t>781419711R00</t>
  </si>
  <si>
    <t>Příplatek k obkladu stěn za plochu do 10 m2 jedntl</t>
  </si>
  <si>
    <t>7,06+2,618</t>
  </si>
  <si>
    <t>120</t>
  </si>
  <si>
    <t>781111116R00</t>
  </si>
  <si>
    <t>Otvor v obkladačce diamant.korunkou prům.do 90 mm</t>
  </si>
  <si>
    <t>121</t>
  </si>
  <si>
    <t>5978</t>
  </si>
  <si>
    <t>Obkládačka  200 x 250 mm, dle vzorkování</t>
  </si>
  <si>
    <t>21,728*1,1</t>
  </si>
  <si>
    <t>122</t>
  </si>
  <si>
    <t>998781102R00</t>
  </si>
  <si>
    <t>Přesun hmot pro obklady keramické, výšky do 12 m</t>
  </si>
  <si>
    <t>783</t>
  </si>
  <si>
    <t>Nátěry</t>
  </si>
  <si>
    <t>123</t>
  </si>
  <si>
    <t>783222100RV1</t>
  </si>
  <si>
    <t>Nátěr syntetický kovových konstrukcí dvojnásobný</t>
  </si>
  <si>
    <t>783_</t>
  </si>
  <si>
    <t>zárubně - dle standardů</t>
  </si>
  <si>
    <t>124</t>
  </si>
  <si>
    <t>7836</t>
  </si>
  <si>
    <t>Očištění radiátorů před nátěrem</t>
  </si>
  <si>
    <t>125</t>
  </si>
  <si>
    <t>783324140R00</t>
  </si>
  <si>
    <t>Nátěr syntetický litin. radiátorů 1x + 1x email</t>
  </si>
  <si>
    <t>784</t>
  </si>
  <si>
    <t>Malby</t>
  </si>
  <si>
    <t>126</t>
  </si>
  <si>
    <t>784402801R00</t>
  </si>
  <si>
    <t>Odstranění malby oškrábáním v místnosti H do 3,8 m</t>
  </si>
  <si>
    <t>784_</t>
  </si>
  <si>
    <t>38,83</t>
  </si>
  <si>
    <t>strop</t>
  </si>
  <si>
    <t>96,796</t>
  </si>
  <si>
    <t>stěny</t>
  </si>
  <si>
    <t>127</t>
  </si>
  <si>
    <t>784161401R00</t>
  </si>
  <si>
    <t>Penetrace podkladu nátěrem , 1 x</t>
  </si>
  <si>
    <t>128</t>
  </si>
  <si>
    <t>784165512R00</t>
  </si>
  <si>
    <t>Malba bílá, bez penetrace, 2 x - dle standardů</t>
  </si>
  <si>
    <t>39+104</t>
  </si>
  <si>
    <t>M21</t>
  </si>
  <si>
    <t>Elektromontáže</t>
  </si>
  <si>
    <t>129</t>
  </si>
  <si>
    <t>210. 1</t>
  </si>
  <si>
    <t>Montáž sporáku</t>
  </si>
  <si>
    <t>M21_</t>
  </si>
  <si>
    <t>130</t>
  </si>
  <si>
    <t>210. 2</t>
  </si>
  <si>
    <t>Sporák elektrický</t>
  </si>
  <si>
    <t>131</t>
  </si>
  <si>
    <t>210. 3</t>
  </si>
  <si>
    <t>D + M elektroinstalace dle PD</t>
  </si>
  <si>
    <t>132</t>
  </si>
  <si>
    <t>210. 4</t>
  </si>
  <si>
    <t>D + M požární hlásič bateriový - životnost baterie min. 5 let</t>
  </si>
  <si>
    <t>133</t>
  </si>
  <si>
    <t>210. 5</t>
  </si>
  <si>
    <t>Dod + montáž digestoře</t>
  </si>
  <si>
    <t>VORN</t>
  </si>
  <si>
    <t>03VRN</t>
  </si>
  <si>
    <t>134</t>
  </si>
  <si>
    <t>030001VRN</t>
  </si>
  <si>
    <t>Soubor</t>
  </si>
  <si>
    <t>03VRN_</t>
  </si>
  <si>
    <t>_Â _</t>
  </si>
  <si>
    <t>06VRN</t>
  </si>
  <si>
    <t>135</t>
  </si>
  <si>
    <t>065002VRN</t>
  </si>
  <si>
    <t>Mimostaveništní doprava</t>
  </si>
  <si>
    <t>06VRN_</t>
  </si>
</sst>
</file>

<file path=xl/styles.xml><?xml version="1.0" encoding="utf-8"?>
<styleSheet xmlns="http://schemas.openxmlformats.org/spreadsheetml/2006/main">
  <fonts count="15">
    <font>
      <sz val="11"/>
      <name val="Calibri"/>
      <charset val="1"/>
    </font>
    <font>
      <sz val="18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i/>
      <sz val="8"/>
      <color rgb="FF000000"/>
      <name val="Arial"/>
      <charset val="238"/>
    </font>
    <font>
      <sz val="10"/>
      <color rgb="FF400040"/>
      <name val="Arial"/>
      <charset val="238"/>
    </font>
    <font>
      <b/>
      <sz val="10"/>
      <color rgb="FF400040"/>
      <name val="Arial"/>
      <charset val="238"/>
    </font>
    <font>
      <i/>
      <sz val="10"/>
      <color rgb="FF000000"/>
      <name val="Arial"/>
      <charset val="238"/>
    </font>
    <font>
      <i/>
      <sz val="10"/>
      <color rgb="FF400040"/>
      <name val="Arial"/>
      <charset val="238"/>
    </font>
    <font>
      <i/>
      <sz val="10"/>
      <color rgb="FF0000FF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EAEAEA"/>
        <bgColor rgb="FFEAEAEA"/>
      </patternFill>
    </fill>
    <fill>
      <patternFill patternType="solid">
        <fgColor rgb="FFCCFFFF"/>
        <bgColor rgb="FFCCFFFF"/>
      </patternFill>
    </fill>
  </fills>
  <borders count="7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5" fillId="2" borderId="11" xfId="0" applyNumberFormat="1" applyFont="1" applyFill="1" applyBorder="1" applyAlignment="1" applyProtection="1">
      <alignment horizontal="center" vertical="center"/>
    </xf>
    <xf numFmtId="0" fontId="5" fillId="2" borderId="14" xfId="0" applyNumberFormat="1" applyFont="1" applyFill="1" applyBorder="1" applyAlignment="1" applyProtection="1">
      <alignment horizontal="center" vertical="center"/>
    </xf>
    <xf numFmtId="0" fontId="7" fillId="0" borderId="15" xfId="0" applyNumberFormat="1" applyFont="1" applyFill="1" applyBorder="1" applyAlignment="1" applyProtection="1">
      <alignment horizontal="left" vertical="center"/>
    </xf>
    <xf numFmtId="0" fontId="8" fillId="0" borderId="16" xfId="0" applyNumberFormat="1" applyFont="1" applyFill="1" applyBorder="1" applyAlignment="1" applyProtection="1">
      <alignment horizontal="left" vertical="center"/>
    </xf>
    <xf numFmtId="4" fontId="8" fillId="0" borderId="16" xfId="0" applyNumberFormat="1" applyFont="1" applyFill="1" applyBorder="1" applyAlignment="1" applyProtection="1">
      <alignment horizontal="right" vertical="center"/>
    </xf>
    <xf numFmtId="0" fontId="8" fillId="0" borderId="16" xfId="0" applyNumberFormat="1" applyFont="1" applyFill="1" applyBorder="1" applyAlignment="1" applyProtection="1">
      <alignment horizontal="right" vertical="center"/>
    </xf>
    <xf numFmtId="0" fontId="7" fillId="0" borderId="19" xfId="0" applyNumberFormat="1" applyFont="1" applyFill="1" applyBorder="1" applyAlignment="1" applyProtection="1">
      <alignment horizontal="left" vertical="center"/>
    </xf>
    <xf numFmtId="4" fontId="8" fillId="0" borderId="23" xfId="0" applyNumberFormat="1" applyFont="1" applyFill="1" applyBorder="1" applyAlignment="1" applyProtection="1">
      <alignment horizontal="right" vertical="center"/>
    </xf>
    <xf numFmtId="0" fontId="8" fillId="0" borderId="23" xfId="0" applyNumberFormat="1" applyFont="1" applyFill="1" applyBorder="1" applyAlignment="1" applyProtection="1">
      <alignment horizontal="right" vertical="center"/>
    </xf>
    <xf numFmtId="4" fontId="8" fillId="0" borderId="14" xfId="0" applyNumberFormat="1" applyFont="1" applyFill="1" applyBorder="1" applyAlignment="1" applyProtection="1">
      <alignment horizontal="right" vertical="center"/>
    </xf>
    <xf numFmtId="4" fontId="8" fillId="0" borderId="26" xfId="0" applyNumberFormat="1" applyFont="1" applyFill="1" applyBorder="1" applyAlignment="1" applyProtection="1">
      <alignment horizontal="right" vertical="center"/>
    </xf>
    <xf numFmtId="4" fontId="7" fillId="2" borderId="13" xfId="0" applyNumberFormat="1" applyFont="1" applyFill="1" applyBorder="1" applyAlignment="1" applyProtection="1">
      <alignment horizontal="right" vertical="center"/>
    </xf>
    <xf numFmtId="4" fontId="7" fillId="2" borderId="18" xfId="0" applyNumberFormat="1" applyFont="1" applyFill="1" applyBorder="1" applyAlignment="1" applyProtection="1">
      <alignment horizontal="right" vertical="center"/>
    </xf>
    <xf numFmtId="0" fontId="9" fillId="0" borderId="40" xfId="0" applyNumberFormat="1" applyFont="1" applyFill="1" applyBorder="1" applyAlignment="1" applyProtection="1">
      <alignment horizontal="left" vertical="center"/>
    </xf>
    <xf numFmtId="0" fontId="3" fillId="0" borderId="45" xfId="0" applyNumberFormat="1" applyFont="1" applyFill="1" applyBorder="1" applyAlignment="1" applyProtection="1">
      <alignment horizontal="right" vertical="center"/>
    </xf>
    <xf numFmtId="4" fontId="2" fillId="0" borderId="16" xfId="0" applyNumberFormat="1" applyFont="1" applyFill="1" applyBorder="1" applyAlignment="1" applyProtection="1">
      <alignment horizontal="righ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4" fontId="2" fillId="0" borderId="49" xfId="0" applyNumberFormat="1" applyFont="1" applyFill="1" applyBorder="1" applyAlignment="1" applyProtection="1">
      <alignment horizontal="right" vertical="center"/>
    </xf>
    <xf numFmtId="0" fontId="2" fillId="0" borderId="49" xfId="0" applyNumberFormat="1" applyFont="1" applyFill="1" applyBorder="1" applyAlignment="1" applyProtection="1">
      <alignment horizontal="left" vertical="center"/>
    </xf>
    <xf numFmtId="0" fontId="3" fillId="0" borderId="53" xfId="0" applyNumberFormat="1" applyFont="1" applyFill="1" applyBorder="1" applyAlignment="1" applyProtection="1">
      <alignment horizontal="left" vertical="center"/>
    </xf>
    <xf numFmtId="0" fontId="3" fillId="0" borderId="53" xfId="0" applyNumberFormat="1" applyFont="1" applyFill="1" applyBorder="1" applyAlignment="1" applyProtection="1">
      <alignment horizontal="right" vertical="center"/>
    </xf>
    <xf numFmtId="4" fontId="3" fillId="0" borderId="53" xfId="0" applyNumberFormat="1" applyFont="1" applyFill="1" applyBorder="1" applyAlignment="1" applyProtection="1">
      <alignment horizontal="righ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0" fontId="3" fillId="0" borderId="56" xfId="0" applyNumberFormat="1" applyFont="1" applyFill="1" applyBorder="1" applyAlignment="1" applyProtection="1">
      <alignment horizontal="left" vertical="center"/>
    </xf>
    <xf numFmtId="0" fontId="3" fillId="0" borderId="57" xfId="0" applyNumberFormat="1" applyFont="1" applyFill="1" applyBorder="1" applyAlignment="1" applyProtection="1">
      <alignment horizontal="left" vertical="center"/>
    </xf>
    <xf numFmtId="0" fontId="3" fillId="0" borderId="57" xfId="0" applyNumberFormat="1" applyFont="1" applyFill="1" applyBorder="1" applyAlignment="1" applyProtection="1">
      <alignment horizontal="center" vertical="center"/>
    </xf>
    <xf numFmtId="0" fontId="3" fillId="3" borderId="60" xfId="0" applyNumberFormat="1" applyFont="1" applyFill="1" applyBorder="1" applyAlignment="1" applyProtection="1">
      <alignment horizontal="center" vertical="center"/>
      <protection locked="0"/>
    </xf>
    <xf numFmtId="0" fontId="3" fillId="0" borderId="61" xfId="0" applyNumberFormat="1" applyFont="1" applyFill="1" applyBorder="1" applyAlignment="1" applyProtection="1">
      <alignment horizontal="center" vertical="center"/>
    </xf>
    <xf numFmtId="0" fontId="0" fillId="0" borderId="62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2" fillId="0" borderId="63" xfId="0" applyNumberFormat="1" applyFont="1" applyFill="1" applyBorder="1" applyAlignment="1" applyProtection="1">
      <alignment horizontal="left" vertical="center"/>
    </xf>
    <xf numFmtId="0" fontId="2" fillId="0" borderId="64" xfId="0" applyNumberFormat="1" applyFont="1" applyFill="1" applyBorder="1" applyAlignment="1" applyProtection="1">
      <alignment horizontal="left" vertical="center"/>
    </xf>
    <xf numFmtId="0" fontId="3" fillId="3" borderId="64" xfId="0" applyNumberFormat="1" applyFont="1" applyFill="1" applyBorder="1" applyAlignment="1" applyProtection="1">
      <alignment horizontal="center" vertical="center"/>
      <protection locked="0"/>
    </xf>
    <xf numFmtId="0" fontId="3" fillId="0" borderId="67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/>
    <xf numFmtId="0" fontId="10" fillId="4" borderId="68" xfId="0" applyNumberFormat="1" applyFont="1" applyFill="1" applyBorder="1" applyAlignment="1" applyProtection="1">
      <alignment horizontal="left" vertical="center"/>
    </xf>
    <xf numFmtId="0" fontId="11" fillId="4" borderId="40" xfId="0" applyNumberFormat="1" applyFont="1" applyFill="1" applyBorder="1" applyAlignment="1" applyProtection="1">
      <alignment horizontal="left" vertical="center"/>
    </xf>
    <xf numFmtId="0" fontId="10" fillId="4" borderId="40" xfId="0" applyNumberFormat="1" applyFont="1" applyFill="1" applyBorder="1" applyAlignment="1" applyProtection="1">
      <alignment horizontal="left" vertical="center"/>
    </xf>
    <xf numFmtId="0" fontId="10" fillId="5" borderId="40" xfId="0" applyNumberFormat="1" applyFont="1" applyFill="1" applyBorder="1" applyAlignment="1" applyProtection="1">
      <alignment horizontal="left" vertical="center"/>
      <protection locked="0"/>
    </xf>
    <xf numFmtId="4" fontId="11" fillId="4" borderId="40" xfId="0" applyNumberFormat="1" applyFont="1" applyFill="1" applyBorder="1" applyAlignment="1" applyProtection="1">
      <alignment horizontal="right" vertical="center"/>
    </xf>
    <xf numFmtId="0" fontId="2" fillId="2" borderId="5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" fillId="5" borderId="0" xfId="0" applyNumberFormat="1" applyFont="1" applyFill="1" applyBorder="1" applyAlignment="1" applyProtection="1">
      <alignment horizontal="left" vertical="center"/>
      <protection locked="0"/>
    </xf>
    <xf numFmtId="4" fontId="2" fillId="0" borderId="0" xfId="0" applyNumberFormat="1" applyFont="1" applyFill="1" applyBorder="1" applyAlignment="1" applyProtection="1">
      <alignment horizontal="right" vertical="center"/>
    </xf>
    <xf numFmtId="4" fontId="2" fillId="3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/>
    </xf>
    <xf numFmtId="4" fontId="13" fillId="0" borderId="0" xfId="0" applyNumberFormat="1" applyFont="1" applyFill="1" applyBorder="1" applyAlignment="1" applyProtection="1">
      <alignment horizontal="right" vertical="center"/>
    </xf>
    <xf numFmtId="4" fontId="2" fillId="0" borderId="8" xfId="0" applyNumberFormat="1" applyFont="1" applyFill="1" applyBorder="1" applyAlignment="1" applyProtection="1">
      <alignment horizontal="right" vertical="center"/>
    </xf>
    <xf numFmtId="4" fontId="2" fillId="3" borderId="8" xfId="0" applyNumberFormat="1" applyFont="1" applyFill="1" applyBorder="1" applyAlignment="1" applyProtection="1">
      <alignment horizontal="right" vertical="center"/>
      <protection locked="0"/>
    </xf>
    <xf numFmtId="0" fontId="0" fillId="0" borderId="8" xfId="0" applyNumberFormat="1" applyFont="1" applyFill="1" applyBorder="1" applyAlignment="1" applyProtection="1"/>
    <xf numFmtId="0" fontId="0" fillId="0" borderId="9" xfId="0" applyNumberFormat="1" applyFont="1" applyFill="1" applyBorder="1" applyAlignment="1" applyProtection="1"/>
    <xf numFmtId="4" fontId="3" fillId="0" borderId="69" xfId="0" applyNumberFormat="1" applyFont="1" applyFill="1" applyBorder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/>
    </xf>
    <xf numFmtId="1" fontId="2" fillId="0" borderId="6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6" fillId="0" borderId="12" xfId="0" applyNumberFormat="1" applyFont="1" applyFill="1" applyBorder="1" applyAlignment="1" applyProtection="1">
      <alignment horizontal="left" vertical="center"/>
    </xf>
    <xf numFmtId="0" fontId="6" fillId="0" borderId="13" xfId="0" applyNumberFormat="1" applyFont="1" applyFill="1" applyBorder="1" applyAlignment="1" applyProtection="1">
      <alignment horizontal="left" vertical="center"/>
    </xf>
    <xf numFmtId="0" fontId="7" fillId="0" borderId="20" xfId="0" applyNumberFormat="1" applyFont="1" applyFill="1" applyBorder="1" applyAlignment="1" applyProtection="1">
      <alignment horizontal="left" vertical="center"/>
    </xf>
    <xf numFmtId="0" fontId="7" fillId="0" borderId="18" xfId="0" applyNumberFormat="1" applyFont="1" applyFill="1" applyBorder="1" applyAlignment="1" applyProtection="1">
      <alignment horizontal="left" vertical="center"/>
    </xf>
    <xf numFmtId="0" fontId="7" fillId="0" borderId="21" xfId="0" applyNumberFormat="1" applyFont="1" applyFill="1" applyBorder="1" applyAlignment="1" applyProtection="1">
      <alignment horizontal="left" vertical="center"/>
    </xf>
    <xf numFmtId="0" fontId="7" fillId="0" borderId="22" xfId="0" applyNumberFormat="1" applyFont="1" applyFill="1" applyBorder="1" applyAlignment="1" applyProtection="1">
      <alignment horizontal="left" vertical="center"/>
    </xf>
    <xf numFmtId="0" fontId="7" fillId="0" borderId="25" xfId="0" applyNumberFormat="1" applyFont="1" applyFill="1" applyBorder="1" applyAlignment="1" applyProtection="1">
      <alignment horizontal="left" vertical="center"/>
    </xf>
    <xf numFmtId="0" fontId="7" fillId="0" borderId="13" xfId="0" applyNumberFormat="1" applyFont="1" applyFill="1" applyBorder="1" applyAlignment="1" applyProtection="1">
      <alignment horizontal="left" vertical="center"/>
    </xf>
    <xf numFmtId="0" fontId="8" fillId="0" borderId="17" xfId="0" applyNumberFormat="1" applyFont="1" applyFill="1" applyBorder="1" applyAlignment="1" applyProtection="1">
      <alignment horizontal="left" vertical="center"/>
    </xf>
    <xf numFmtId="0" fontId="8" fillId="0" borderId="18" xfId="0" applyNumberFormat="1" applyFont="1" applyFill="1" applyBorder="1" applyAlignment="1" applyProtection="1">
      <alignment horizontal="left" vertical="center"/>
    </xf>
    <xf numFmtId="0" fontId="8" fillId="0" borderId="24" xfId="0" applyNumberFormat="1" applyFont="1" applyFill="1" applyBorder="1" applyAlignment="1" applyProtection="1">
      <alignment horizontal="left" vertical="center"/>
    </xf>
    <xf numFmtId="0" fontId="8" fillId="0" borderId="22" xfId="0" applyNumberFormat="1" applyFont="1" applyFill="1" applyBorder="1" applyAlignment="1" applyProtection="1">
      <alignment horizontal="left" vertical="center"/>
    </xf>
    <xf numFmtId="0" fontId="7" fillId="0" borderId="12" xfId="0" applyNumberFormat="1" applyFont="1" applyFill="1" applyBorder="1" applyAlignment="1" applyProtection="1">
      <alignment horizontal="left" vertical="center"/>
    </xf>
    <xf numFmtId="0" fontId="7" fillId="0" borderId="17" xfId="0" applyNumberFormat="1" applyFont="1" applyFill="1" applyBorder="1" applyAlignment="1" applyProtection="1">
      <alignment horizontal="left" vertical="center"/>
    </xf>
    <xf numFmtId="0" fontId="7" fillId="2" borderId="25" xfId="0" applyNumberFormat="1" applyFont="1" applyFill="1" applyBorder="1" applyAlignment="1" applyProtection="1">
      <alignment horizontal="left" vertical="center"/>
    </xf>
    <xf numFmtId="0" fontId="7" fillId="2" borderId="27" xfId="0" applyNumberFormat="1" applyFont="1" applyFill="1" applyBorder="1" applyAlignment="1" applyProtection="1">
      <alignment horizontal="left" vertical="center"/>
    </xf>
    <xf numFmtId="0" fontId="7" fillId="2" borderId="20" xfId="0" applyNumberFormat="1" applyFont="1" applyFill="1" applyBorder="1" applyAlignment="1" applyProtection="1">
      <alignment horizontal="left" vertical="center"/>
    </xf>
    <xf numFmtId="0" fontId="7" fillId="2" borderId="28" xfId="0" applyNumberFormat="1" applyFont="1" applyFill="1" applyBorder="1" applyAlignment="1" applyProtection="1">
      <alignment horizontal="left" vertical="center"/>
    </xf>
    <xf numFmtId="0" fontId="7" fillId="2" borderId="12" xfId="0" applyNumberFormat="1" applyFont="1" applyFill="1" applyBorder="1" applyAlignment="1" applyProtection="1">
      <alignment horizontal="left" vertical="center"/>
    </xf>
    <xf numFmtId="0" fontId="7" fillId="2" borderId="17" xfId="0" applyNumberFormat="1" applyFont="1" applyFill="1" applyBorder="1" applyAlignment="1" applyProtection="1">
      <alignment horizontal="left" vertical="center"/>
    </xf>
    <xf numFmtId="0" fontId="8" fillId="0" borderId="29" xfId="0" applyNumberFormat="1" applyFont="1" applyFill="1" applyBorder="1" applyAlignment="1" applyProtection="1">
      <alignment horizontal="left" vertical="center"/>
    </xf>
    <xf numFmtId="0" fontId="8" fillId="0" borderId="30" xfId="0" applyNumberFormat="1" applyFont="1" applyFill="1" applyBorder="1" applyAlignment="1" applyProtection="1">
      <alignment horizontal="left" vertical="center"/>
    </xf>
    <xf numFmtId="0" fontId="8" fillId="0" borderId="31" xfId="0" applyNumberFormat="1" applyFont="1" applyFill="1" applyBorder="1" applyAlignment="1" applyProtection="1">
      <alignment horizontal="left" vertical="center"/>
    </xf>
    <xf numFmtId="0" fontId="8" fillId="0" borderId="33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34" xfId="0" applyNumberFormat="1" applyFont="1" applyFill="1" applyBorder="1" applyAlignment="1" applyProtection="1">
      <alignment horizontal="left" vertical="center"/>
    </xf>
    <xf numFmtId="0" fontId="8" fillId="0" borderId="36" xfId="0" applyNumberFormat="1" applyFont="1" applyFill="1" applyBorder="1" applyAlignment="1" applyProtection="1">
      <alignment horizontal="lef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8" fillId="0" borderId="38" xfId="0" applyNumberFormat="1" applyFont="1" applyFill="1" applyBorder="1" applyAlignment="1" applyProtection="1">
      <alignment horizontal="left" vertical="center"/>
    </xf>
    <xf numFmtId="0" fontId="8" fillId="0" borderId="32" xfId="0" applyNumberFormat="1" applyFont="1" applyFill="1" applyBorder="1" applyAlignment="1" applyProtection="1">
      <alignment horizontal="left" vertical="center"/>
    </xf>
    <xf numFmtId="0" fontId="8" fillId="0" borderId="35" xfId="0" applyNumberFormat="1" applyFont="1" applyFill="1" applyBorder="1" applyAlignment="1" applyProtection="1">
      <alignment horizontal="left" vertical="center"/>
    </xf>
    <xf numFmtId="0" fontId="8" fillId="0" borderId="39" xfId="0" applyNumberFormat="1" applyFont="1" applyFill="1" applyBorder="1" applyAlignment="1" applyProtection="1">
      <alignment horizontal="left" vertical="center"/>
    </xf>
    <xf numFmtId="0" fontId="7" fillId="0" borderId="41" xfId="0" applyNumberFormat="1" applyFont="1" applyFill="1" applyBorder="1" applyAlignment="1" applyProtection="1">
      <alignment horizontal="left" vertical="center"/>
    </xf>
    <xf numFmtId="0" fontId="3" fillId="0" borderId="4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44" xfId="0" applyNumberFormat="1" applyFont="1" applyFill="1" applyBorder="1" applyAlignment="1" applyProtection="1">
      <alignment horizontal="left" vertical="center"/>
    </xf>
    <xf numFmtId="0" fontId="2" fillId="0" borderId="20" xfId="0" applyNumberFormat="1" applyFont="1" applyFill="1" applyBorder="1" applyAlignment="1" applyProtection="1">
      <alignment horizontal="left" vertical="center"/>
    </xf>
    <xf numFmtId="0" fontId="2" fillId="0" borderId="28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left" vertical="center"/>
    </xf>
    <xf numFmtId="0" fontId="2" fillId="0" borderId="47" xfId="0" applyNumberFormat="1" applyFont="1" applyFill="1" applyBorder="1" applyAlignment="1" applyProtection="1">
      <alignment horizontal="left" vertical="center"/>
    </xf>
    <xf numFmtId="0" fontId="2" fillId="0" borderId="48" xfId="0" applyNumberFormat="1" applyFont="1" applyFill="1" applyBorder="1" applyAlignment="1" applyProtection="1">
      <alignment horizontal="left" vertical="center"/>
    </xf>
    <xf numFmtId="0" fontId="3" fillId="0" borderId="50" xfId="0" applyNumberFormat="1" applyFont="1" applyFill="1" applyBorder="1" applyAlignment="1" applyProtection="1">
      <alignment horizontal="left" vertical="center"/>
    </xf>
    <xf numFmtId="0" fontId="3" fillId="0" borderId="51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left" vertical="center"/>
    </xf>
    <xf numFmtId="0" fontId="7" fillId="0" borderId="50" xfId="0" applyNumberFormat="1" applyFont="1" applyFill="1" applyBorder="1" applyAlignment="1" applyProtection="1">
      <alignment horizontal="left" vertical="center"/>
    </xf>
    <xf numFmtId="0" fontId="7" fillId="0" borderId="51" xfId="0" applyNumberFormat="1" applyFont="1" applyFill="1" applyBorder="1" applyAlignment="1" applyProtection="1">
      <alignment horizontal="left" vertical="center"/>
    </xf>
    <xf numFmtId="0" fontId="7" fillId="0" borderId="52" xfId="0" applyNumberFormat="1" applyFont="1" applyFill="1" applyBorder="1" applyAlignment="1" applyProtection="1">
      <alignment horizontal="left" vertical="center"/>
    </xf>
    <xf numFmtId="4" fontId="7" fillId="0" borderId="54" xfId="0" applyNumberFormat="1" applyFont="1" applyFill="1" applyBorder="1" applyAlignment="1" applyProtection="1">
      <alignment horizontal="right" vertical="center"/>
    </xf>
    <xf numFmtId="0" fontId="7" fillId="0" borderId="51" xfId="0" applyNumberFormat="1" applyFont="1" applyFill="1" applyBorder="1" applyAlignment="1" applyProtection="1">
      <alignment horizontal="right" vertical="center"/>
    </xf>
    <xf numFmtId="0" fontId="7" fillId="0" borderId="52" xfId="0" applyNumberFormat="1" applyFont="1" applyFill="1" applyBorder="1" applyAlignment="1" applyProtection="1">
      <alignment horizontal="right" vertical="center"/>
    </xf>
    <xf numFmtId="0" fontId="2" fillId="0" borderId="55" xfId="0" applyNumberFormat="1" applyFont="1" applyFill="1" applyBorder="1" applyAlignment="1" applyProtection="1">
      <alignment horizontal="left" vertical="center"/>
    </xf>
    <xf numFmtId="0" fontId="2" fillId="0" borderId="41" xfId="0" applyNumberFormat="1" applyFont="1" applyFill="1" applyBorder="1" applyAlignment="1" applyProtection="1">
      <alignment horizontal="left" vertical="center"/>
    </xf>
    <xf numFmtId="0" fontId="2" fillId="3" borderId="3" xfId="0" applyNumberFormat="1" applyFont="1" applyFill="1" applyBorder="1" applyAlignment="1" applyProtection="1">
      <alignment horizontal="left" vertical="center"/>
      <protection locked="0"/>
    </xf>
    <xf numFmtId="0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3" borderId="41" xfId="0" applyNumberFormat="1" applyFont="1" applyFill="1" applyBorder="1" applyAlignment="1" applyProtection="1">
      <alignment horizontal="left" vertical="center"/>
      <protection locked="0"/>
    </xf>
    <xf numFmtId="0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8" xfId="0" applyNumberFormat="1" applyFont="1" applyFill="1" applyBorder="1" applyAlignment="1" applyProtection="1">
      <alignment horizontal="left" vertical="center"/>
      <protection locked="0"/>
    </xf>
    <xf numFmtId="0" fontId="2" fillId="3" borderId="9" xfId="0" applyNumberFormat="1" applyFont="1" applyFill="1" applyBorder="1" applyAlignment="1" applyProtection="1">
      <alignment horizontal="left" vertical="center"/>
      <protection locked="0"/>
    </xf>
    <xf numFmtId="0" fontId="3" fillId="0" borderId="58" xfId="0" applyNumberFormat="1" applyFont="1" applyFill="1" applyBorder="1" applyAlignment="1" applyProtection="1">
      <alignment horizontal="left" vertical="center"/>
    </xf>
    <xf numFmtId="0" fontId="3" fillId="0" borderId="59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66" xfId="0" applyNumberFormat="1" applyFont="1" applyFill="1" applyBorder="1" applyAlignment="1" applyProtection="1">
      <alignment horizontal="left" vertical="center"/>
    </xf>
    <xf numFmtId="0" fontId="11" fillId="4" borderId="40" xfId="0" applyNumberFormat="1" applyFont="1" applyFill="1" applyBorder="1" applyAlignment="1" applyProtection="1">
      <alignment horizontal="left" vertical="center" wrapText="1"/>
    </xf>
    <xf numFmtId="0" fontId="11" fillId="4" borderId="4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3" borderId="0" xfId="0" applyNumberFormat="1" applyFont="1" applyFill="1" applyBorder="1" applyAlignment="1" applyProtection="1">
      <alignment horizontal="left" vertical="center"/>
      <protection locked="0"/>
    </xf>
    <xf numFmtId="0" fontId="13" fillId="0" borderId="6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tabSelected="1" workbookViewId="0">
      <selection activeCell="A37" sqref="A37:I37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>
      <c r="A1" s="65" t="s">
        <v>0</v>
      </c>
      <c r="B1" s="66"/>
      <c r="C1" s="66"/>
      <c r="D1" s="66"/>
      <c r="E1" s="66"/>
      <c r="F1" s="66"/>
      <c r="G1" s="66"/>
      <c r="H1" s="66"/>
      <c r="I1" s="66"/>
    </row>
    <row r="2" spans="1:9">
      <c r="A2" s="67" t="s">
        <v>1</v>
      </c>
      <c r="B2" s="68"/>
      <c r="C2" s="76" t="str">
        <f>'Stavební rozpočet'!C2</f>
        <v>106-2025 Haškova 2168/6 , byt č. 7  Žďár nad Sázavou</v>
      </c>
      <c r="D2" s="77"/>
      <c r="E2" s="74" t="s">
        <v>2</v>
      </c>
      <c r="F2" s="74" t="str">
        <f>'Stavební rozpočet'!I2</f>
        <v> </v>
      </c>
      <c r="G2" s="68"/>
      <c r="H2" s="74" t="s">
        <v>3</v>
      </c>
      <c r="I2" s="79" t="s">
        <v>4</v>
      </c>
    </row>
    <row r="3" spans="1:9" ht="15" customHeight="1">
      <c r="A3" s="69"/>
      <c r="B3" s="70"/>
      <c r="C3" s="78"/>
      <c r="D3" s="78"/>
      <c r="E3" s="70"/>
      <c r="F3" s="70"/>
      <c r="G3" s="70"/>
      <c r="H3" s="70"/>
      <c r="I3" s="80"/>
    </row>
    <row r="4" spans="1:9">
      <c r="A4" s="71" t="s">
        <v>5</v>
      </c>
      <c r="B4" s="70"/>
      <c r="C4" s="75" t="str">
        <f>'Stavební rozpočet'!C4</f>
        <v>Oprava bytu 1+1,  3.NP</v>
      </c>
      <c r="D4" s="70"/>
      <c r="E4" s="75" t="s">
        <v>6</v>
      </c>
      <c r="F4" s="75" t="str">
        <f>'Stavební rozpočet'!I4</f>
        <v> </v>
      </c>
      <c r="G4" s="70"/>
      <c r="H4" s="75" t="s">
        <v>3</v>
      </c>
      <c r="I4" s="80" t="s">
        <v>4</v>
      </c>
    </row>
    <row r="5" spans="1:9" ht="15" customHeight="1">
      <c r="A5" s="69"/>
      <c r="B5" s="70"/>
      <c r="C5" s="70"/>
      <c r="D5" s="70"/>
      <c r="E5" s="70"/>
      <c r="F5" s="70"/>
      <c r="G5" s="70"/>
      <c r="H5" s="70"/>
      <c r="I5" s="80"/>
    </row>
    <row r="6" spans="1:9">
      <c r="A6" s="71" t="s">
        <v>7</v>
      </c>
      <c r="B6" s="70"/>
      <c r="C6" s="75" t="str">
        <f>'Stavební rozpočet'!C6</f>
        <v xml:space="preserve"> </v>
      </c>
      <c r="D6" s="70"/>
      <c r="E6" s="75" t="s">
        <v>8</v>
      </c>
      <c r="F6" s="75" t="str">
        <f>'Stavební rozpočet'!I6</f>
        <v> </v>
      </c>
      <c r="G6" s="70"/>
      <c r="H6" s="75" t="s">
        <v>3</v>
      </c>
      <c r="I6" s="80" t="s">
        <v>4</v>
      </c>
    </row>
    <row r="7" spans="1:9" ht="15" customHeight="1">
      <c r="A7" s="69"/>
      <c r="B7" s="70"/>
      <c r="C7" s="70"/>
      <c r="D7" s="70"/>
      <c r="E7" s="70"/>
      <c r="F7" s="70"/>
      <c r="G7" s="70"/>
      <c r="H7" s="70"/>
      <c r="I7" s="80"/>
    </row>
    <row r="8" spans="1:9">
      <c r="A8" s="71" t="s">
        <v>9</v>
      </c>
      <c r="B8" s="70"/>
      <c r="C8" s="75" t="str">
        <f>'Stavební rozpočet'!G4</f>
        <v xml:space="preserve"> </v>
      </c>
      <c r="D8" s="70"/>
      <c r="E8" s="75" t="s">
        <v>10</v>
      </c>
      <c r="F8" s="75" t="str">
        <f>'Stavební rozpočet'!G6</f>
        <v xml:space="preserve"> </v>
      </c>
      <c r="G8" s="70"/>
      <c r="H8" s="70" t="s">
        <v>11</v>
      </c>
      <c r="I8" s="81">
        <v>135</v>
      </c>
    </row>
    <row r="9" spans="1:9">
      <c r="A9" s="69"/>
      <c r="B9" s="70"/>
      <c r="C9" s="70"/>
      <c r="D9" s="70"/>
      <c r="E9" s="70"/>
      <c r="F9" s="70"/>
      <c r="G9" s="70"/>
      <c r="H9" s="70"/>
      <c r="I9" s="80"/>
    </row>
    <row r="10" spans="1:9">
      <c r="A10" s="71" t="s">
        <v>12</v>
      </c>
      <c r="B10" s="70"/>
      <c r="C10" s="75" t="str">
        <f>'Stavební rozpočet'!C8</f>
        <v xml:space="preserve"> </v>
      </c>
      <c r="D10" s="70"/>
      <c r="E10" s="75" t="s">
        <v>13</v>
      </c>
      <c r="F10" s="75" t="str">
        <f>'Stavební rozpočet'!I8</f>
        <v> </v>
      </c>
      <c r="G10" s="70"/>
      <c r="H10" s="70" t="s">
        <v>14</v>
      </c>
      <c r="I10" s="82">
        <f>'Stavební rozpočet'!G8</f>
        <v>0</v>
      </c>
    </row>
    <row r="11" spans="1:9">
      <c r="A11" s="72"/>
      <c r="B11" s="73"/>
      <c r="C11" s="73"/>
      <c r="D11" s="73"/>
      <c r="E11" s="73"/>
      <c r="F11" s="73"/>
      <c r="G11" s="73"/>
      <c r="H11" s="73"/>
      <c r="I11" s="83"/>
    </row>
    <row r="12" spans="1:9" ht="23.25">
      <c r="A12" s="84" t="s">
        <v>15</v>
      </c>
      <c r="B12" s="84"/>
      <c r="C12" s="84"/>
      <c r="D12" s="84"/>
      <c r="E12" s="84"/>
      <c r="F12" s="84"/>
      <c r="G12" s="84"/>
      <c r="H12" s="84"/>
      <c r="I12" s="84"/>
    </row>
    <row r="13" spans="1:9" ht="26.25" customHeight="1">
      <c r="A13" s="6" t="s">
        <v>16</v>
      </c>
      <c r="B13" s="85" t="s">
        <v>17</v>
      </c>
      <c r="C13" s="86"/>
      <c r="D13" s="7" t="s">
        <v>18</v>
      </c>
      <c r="E13" s="85" t="s">
        <v>19</v>
      </c>
      <c r="F13" s="86"/>
      <c r="G13" s="7" t="s">
        <v>20</v>
      </c>
      <c r="H13" s="85" t="s">
        <v>21</v>
      </c>
      <c r="I13" s="86"/>
    </row>
    <row r="14" spans="1:9" ht="15.75">
      <c r="A14" s="8" t="s">
        <v>22</v>
      </c>
      <c r="B14" s="9" t="s">
        <v>23</v>
      </c>
      <c r="C14" s="10">
        <f>SUM('Stavební rozpočet'!AB12:AB496)</f>
        <v>0</v>
      </c>
      <c r="D14" s="93" t="s">
        <v>24</v>
      </c>
      <c r="E14" s="94"/>
      <c r="F14" s="10">
        <f>VORN!I15</f>
        <v>0</v>
      </c>
      <c r="G14" s="93" t="s">
        <v>25</v>
      </c>
      <c r="H14" s="94"/>
      <c r="I14" s="11">
        <f>VORN!I21</f>
        <v>0</v>
      </c>
    </row>
    <row r="15" spans="1:9" ht="15.75">
      <c r="A15" s="12" t="s">
        <v>4</v>
      </c>
      <c r="B15" s="9" t="s">
        <v>26</v>
      </c>
      <c r="C15" s="10">
        <f>SUM('Stavební rozpočet'!AC12:AC496)</f>
        <v>0</v>
      </c>
      <c r="D15" s="93" t="s">
        <v>27</v>
      </c>
      <c r="E15" s="94"/>
      <c r="F15" s="10">
        <f>VORN!I16</f>
        <v>0</v>
      </c>
      <c r="G15" s="93" t="s">
        <v>28</v>
      </c>
      <c r="H15" s="94"/>
      <c r="I15" s="11">
        <f>VORN!I22</f>
        <v>0</v>
      </c>
    </row>
    <row r="16" spans="1:9" ht="15.75">
      <c r="A16" s="8" t="s">
        <v>29</v>
      </c>
      <c r="B16" s="9" t="s">
        <v>23</v>
      </c>
      <c r="C16" s="10">
        <f>SUM('Stavební rozpočet'!AD12:AD496)</f>
        <v>0</v>
      </c>
      <c r="D16" s="93" t="s">
        <v>30</v>
      </c>
      <c r="E16" s="94"/>
      <c r="F16" s="10">
        <f>VORN!I17</f>
        <v>0</v>
      </c>
      <c r="G16" s="93" t="s">
        <v>31</v>
      </c>
      <c r="H16" s="94"/>
      <c r="I16" s="11">
        <f>VORN!I23</f>
        <v>0</v>
      </c>
    </row>
    <row r="17" spans="1:9" ht="15.75">
      <c r="A17" s="12" t="s">
        <v>4</v>
      </c>
      <c r="B17" s="9" t="s">
        <v>26</v>
      </c>
      <c r="C17" s="10">
        <f>SUM('Stavební rozpočet'!AE12:AE496)</f>
        <v>0</v>
      </c>
      <c r="D17" s="93" t="s">
        <v>4</v>
      </c>
      <c r="E17" s="94"/>
      <c r="F17" s="11" t="s">
        <v>4</v>
      </c>
      <c r="G17" s="93" t="s">
        <v>32</v>
      </c>
      <c r="H17" s="94"/>
      <c r="I17" s="11">
        <f>VORN!I24</f>
        <v>0</v>
      </c>
    </row>
    <row r="18" spans="1:9" ht="15.75">
      <c r="A18" s="8" t="s">
        <v>33</v>
      </c>
      <c r="B18" s="9" t="s">
        <v>23</v>
      </c>
      <c r="C18" s="10">
        <f>SUM('Stavební rozpočet'!AF12:AF496)</f>
        <v>0</v>
      </c>
      <c r="D18" s="93" t="s">
        <v>4</v>
      </c>
      <c r="E18" s="94"/>
      <c r="F18" s="11" t="s">
        <v>4</v>
      </c>
      <c r="G18" s="93" t="s">
        <v>34</v>
      </c>
      <c r="H18" s="94"/>
      <c r="I18" s="11">
        <f>VORN!I25</f>
        <v>0</v>
      </c>
    </row>
    <row r="19" spans="1:9" ht="15.75">
      <c r="A19" s="12" t="s">
        <v>4</v>
      </c>
      <c r="B19" s="9" t="s">
        <v>26</v>
      </c>
      <c r="C19" s="10">
        <f>SUM('Stavební rozpočet'!AG12:AG496)</f>
        <v>0</v>
      </c>
      <c r="D19" s="93" t="s">
        <v>4</v>
      </c>
      <c r="E19" s="94"/>
      <c r="F19" s="11" t="s">
        <v>4</v>
      </c>
      <c r="G19" s="93" t="s">
        <v>35</v>
      </c>
      <c r="H19" s="94"/>
      <c r="I19" s="11">
        <f>VORN!I26</f>
        <v>0</v>
      </c>
    </row>
    <row r="20" spans="1:9" ht="15.75">
      <c r="A20" s="87" t="s">
        <v>36</v>
      </c>
      <c r="B20" s="88"/>
      <c r="C20" s="10">
        <f>SUM('Stavební rozpočet'!AH12:AH496)</f>
        <v>0</v>
      </c>
      <c r="D20" s="93" t="s">
        <v>4</v>
      </c>
      <c r="E20" s="94"/>
      <c r="F20" s="11" t="s">
        <v>4</v>
      </c>
      <c r="G20" s="93" t="s">
        <v>4</v>
      </c>
      <c r="H20" s="94"/>
      <c r="I20" s="11" t="s">
        <v>4</v>
      </c>
    </row>
    <row r="21" spans="1:9" ht="15.75">
      <c r="A21" s="89" t="s">
        <v>37</v>
      </c>
      <c r="B21" s="90"/>
      <c r="C21" s="13">
        <f>SUM('Stavební rozpočet'!Z12:Z496)</f>
        <v>0</v>
      </c>
      <c r="D21" s="95" t="s">
        <v>4</v>
      </c>
      <c r="E21" s="96"/>
      <c r="F21" s="14" t="s">
        <v>4</v>
      </c>
      <c r="G21" s="95" t="s">
        <v>4</v>
      </c>
      <c r="H21" s="96"/>
      <c r="I21" s="14" t="s">
        <v>4</v>
      </c>
    </row>
    <row r="22" spans="1:9" ht="16.5" customHeight="1">
      <c r="A22" s="91" t="s">
        <v>38</v>
      </c>
      <c r="B22" s="92"/>
      <c r="C22" s="15">
        <f>ROUND(SUM(C14:C21),2)</f>
        <v>0</v>
      </c>
      <c r="D22" s="97" t="s">
        <v>39</v>
      </c>
      <c r="E22" s="92"/>
      <c r="F22" s="15">
        <f>SUM(F14:F21)</f>
        <v>0</v>
      </c>
      <c r="G22" s="97" t="s">
        <v>40</v>
      </c>
      <c r="H22" s="92"/>
      <c r="I22" s="15">
        <f>SUM(I14:I21)</f>
        <v>0</v>
      </c>
    </row>
    <row r="23" spans="1:9" ht="15.75">
      <c r="D23" s="87" t="s">
        <v>41</v>
      </c>
      <c r="E23" s="88"/>
      <c r="F23" s="16">
        <v>0</v>
      </c>
      <c r="G23" s="98" t="s">
        <v>42</v>
      </c>
      <c r="H23" s="88"/>
      <c r="I23" s="10">
        <v>0</v>
      </c>
    </row>
    <row r="24" spans="1:9" ht="15.75">
      <c r="G24" s="87" t="s">
        <v>43</v>
      </c>
      <c r="H24" s="88"/>
      <c r="I24" s="13">
        <f>vorn_sum</f>
        <v>0</v>
      </c>
    </row>
    <row r="25" spans="1:9" ht="15.75">
      <c r="G25" s="87" t="s">
        <v>44</v>
      </c>
      <c r="H25" s="88"/>
      <c r="I25" s="15">
        <v>0</v>
      </c>
    </row>
    <row r="27" spans="1:9" ht="15.75">
      <c r="A27" s="99" t="s">
        <v>45</v>
      </c>
      <c r="B27" s="100"/>
      <c r="C27" s="17">
        <f>ROUND(SUM('Stavební rozpočet'!AJ12:AJ496),2)</f>
        <v>0</v>
      </c>
    </row>
    <row r="28" spans="1:9" ht="15.75">
      <c r="A28" s="101" t="s">
        <v>46</v>
      </c>
      <c r="B28" s="102"/>
      <c r="C28" s="18">
        <f>ROUND(SUM('Stavební rozpočet'!AK12:AK496),2)</f>
        <v>0</v>
      </c>
      <c r="D28" s="103" t="s">
        <v>47</v>
      </c>
      <c r="E28" s="100"/>
      <c r="F28" s="17">
        <f>ROUND(C28*(12/100),2)</f>
        <v>0</v>
      </c>
      <c r="G28" s="103" t="s">
        <v>48</v>
      </c>
      <c r="H28" s="100"/>
      <c r="I28" s="17">
        <f>ROUND(SUM(C27:C29),2)</f>
        <v>0</v>
      </c>
    </row>
    <row r="29" spans="1:9" ht="15.75">
      <c r="A29" s="101" t="s">
        <v>49</v>
      </c>
      <c r="B29" s="102"/>
      <c r="C29" s="18">
        <f>ROUND(SUM('Stavební rozpočet'!AL12:AL496),2)</f>
        <v>0</v>
      </c>
      <c r="D29" s="104" t="s">
        <v>50</v>
      </c>
      <c r="E29" s="102"/>
      <c r="F29" s="18">
        <f>ROUND(C29*(21/100),2)</f>
        <v>0</v>
      </c>
      <c r="G29" s="104" t="s">
        <v>51</v>
      </c>
      <c r="H29" s="102"/>
      <c r="I29" s="18">
        <f>ROUND(SUM(F28:F29)+I28,0)</f>
        <v>0</v>
      </c>
    </row>
    <row r="31" spans="1:9">
      <c r="A31" s="105" t="s">
        <v>52</v>
      </c>
      <c r="B31" s="106"/>
      <c r="C31" s="107"/>
      <c r="D31" s="114" t="s">
        <v>53</v>
      </c>
      <c r="E31" s="106"/>
      <c r="F31" s="107"/>
      <c r="G31" s="114" t="s">
        <v>54</v>
      </c>
      <c r="H31" s="106"/>
      <c r="I31" s="107"/>
    </row>
    <row r="32" spans="1:9">
      <c r="A32" s="108" t="s">
        <v>4</v>
      </c>
      <c r="B32" s="109"/>
      <c r="C32" s="110"/>
      <c r="D32" s="115" t="s">
        <v>4</v>
      </c>
      <c r="E32" s="109"/>
      <c r="F32" s="110"/>
      <c r="G32" s="115" t="s">
        <v>4</v>
      </c>
      <c r="H32" s="109"/>
      <c r="I32" s="110"/>
    </row>
    <row r="33" spans="1:9">
      <c r="A33" s="108" t="s">
        <v>4</v>
      </c>
      <c r="B33" s="109"/>
      <c r="C33" s="110"/>
      <c r="D33" s="115" t="s">
        <v>4</v>
      </c>
      <c r="E33" s="109"/>
      <c r="F33" s="110"/>
      <c r="G33" s="115" t="s">
        <v>4</v>
      </c>
      <c r="H33" s="109"/>
      <c r="I33" s="110"/>
    </row>
    <row r="34" spans="1:9">
      <c r="A34" s="108" t="s">
        <v>4</v>
      </c>
      <c r="B34" s="109"/>
      <c r="C34" s="110"/>
      <c r="D34" s="115" t="s">
        <v>4</v>
      </c>
      <c r="E34" s="109"/>
      <c r="F34" s="110"/>
      <c r="G34" s="115" t="s">
        <v>4</v>
      </c>
      <c r="H34" s="109"/>
      <c r="I34" s="110"/>
    </row>
    <row r="35" spans="1:9">
      <c r="A35" s="111" t="s">
        <v>55</v>
      </c>
      <c r="B35" s="112"/>
      <c r="C35" s="113"/>
      <c r="D35" s="116" t="s">
        <v>55</v>
      </c>
      <c r="E35" s="112"/>
      <c r="F35" s="113"/>
      <c r="G35" s="116" t="s">
        <v>55</v>
      </c>
      <c r="H35" s="112"/>
      <c r="I35" s="113"/>
    </row>
    <row r="36" spans="1:9">
      <c r="A36" s="19" t="s">
        <v>56</v>
      </c>
    </row>
    <row r="37" spans="1:9" ht="12.75" customHeight="1">
      <c r="A37" s="75" t="s">
        <v>4</v>
      </c>
      <c r="B37" s="70"/>
      <c r="C37" s="70"/>
      <c r="D37" s="70"/>
      <c r="E37" s="70"/>
      <c r="F37" s="70"/>
      <c r="G37" s="70"/>
      <c r="H37" s="70"/>
      <c r="I37" s="70"/>
    </row>
  </sheetData>
  <sheetProtection password="CF7A" sheet="1"/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>
      <c r="A1" s="65" t="s">
        <v>57</v>
      </c>
      <c r="B1" s="66"/>
      <c r="C1" s="66"/>
      <c r="D1" s="66"/>
      <c r="E1" s="66"/>
      <c r="F1" s="66"/>
      <c r="G1" s="66"/>
      <c r="H1" s="66"/>
      <c r="I1" s="66"/>
    </row>
    <row r="2" spans="1:9">
      <c r="A2" s="67" t="s">
        <v>1</v>
      </c>
      <c r="B2" s="68"/>
      <c r="C2" s="76" t="str">
        <f>'Stavební rozpočet'!C2</f>
        <v>106-2025 Haškova 2168/6 , byt č. 7  Žďár nad Sázavou</v>
      </c>
      <c r="D2" s="77"/>
      <c r="E2" s="74" t="s">
        <v>2</v>
      </c>
      <c r="F2" s="74" t="str">
        <f>'Stavební rozpočet'!I2</f>
        <v> </v>
      </c>
      <c r="G2" s="68"/>
      <c r="H2" s="74" t="s">
        <v>3</v>
      </c>
      <c r="I2" s="79" t="s">
        <v>4</v>
      </c>
    </row>
    <row r="3" spans="1:9" ht="15" customHeight="1">
      <c r="A3" s="69"/>
      <c r="B3" s="70"/>
      <c r="C3" s="78"/>
      <c r="D3" s="78"/>
      <c r="E3" s="70"/>
      <c r="F3" s="70"/>
      <c r="G3" s="70"/>
      <c r="H3" s="70"/>
      <c r="I3" s="80"/>
    </row>
    <row r="4" spans="1:9">
      <c r="A4" s="71" t="s">
        <v>5</v>
      </c>
      <c r="B4" s="70"/>
      <c r="C4" s="75" t="str">
        <f>'Stavební rozpočet'!C4</f>
        <v>Oprava bytu 1+1,  3.NP</v>
      </c>
      <c r="D4" s="70"/>
      <c r="E4" s="75" t="s">
        <v>6</v>
      </c>
      <c r="F4" s="75" t="str">
        <f>'Stavební rozpočet'!I4</f>
        <v> </v>
      </c>
      <c r="G4" s="70"/>
      <c r="H4" s="75" t="s">
        <v>3</v>
      </c>
      <c r="I4" s="80" t="s">
        <v>4</v>
      </c>
    </row>
    <row r="5" spans="1:9" ht="15" customHeight="1">
      <c r="A5" s="69"/>
      <c r="B5" s="70"/>
      <c r="C5" s="70"/>
      <c r="D5" s="70"/>
      <c r="E5" s="70"/>
      <c r="F5" s="70"/>
      <c r="G5" s="70"/>
      <c r="H5" s="70"/>
      <c r="I5" s="80"/>
    </row>
    <row r="6" spans="1:9">
      <c r="A6" s="71" t="s">
        <v>7</v>
      </c>
      <c r="B6" s="70"/>
      <c r="C6" s="75" t="str">
        <f>'Stavební rozpočet'!C6</f>
        <v xml:space="preserve"> </v>
      </c>
      <c r="D6" s="70"/>
      <c r="E6" s="75" t="s">
        <v>8</v>
      </c>
      <c r="F6" s="75" t="str">
        <f>'Stavební rozpočet'!I6</f>
        <v> </v>
      </c>
      <c r="G6" s="70"/>
      <c r="H6" s="75" t="s">
        <v>3</v>
      </c>
      <c r="I6" s="80" t="s">
        <v>4</v>
      </c>
    </row>
    <row r="7" spans="1:9" ht="15" customHeight="1">
      <c r="A7" s="69"/>
      <c r="B7" s="70"/>
      <c r="C7" s="70"/>
      <c r="D7" s="70"/>
      <c r="E7" s="70"/>
      <c r="F7" s="70"/>
      <c r="G7" s="70"/>
      <c r="H7" s="70"/>
      <c r="I7" s="80"/>
    </row>
    <row r="8" spans="1:9">
      <c r="A8" s="71" t="s">
        <v>9</v>
      </c>
      <c r="B8" s="70"/>
      <c r="C8" s="75" t="str">
        <f>'Stavební rozpočet'!G4</f>
        <v xml:space="preserve"> </v>
      </c>
      <c r="D8" s="70"/>
      <c r="E8" s="75" t="s">
        <v>10</v>
      </c>
      <c r="F8" s="75" t="str">
        <f>'Stavební rozpočet'!G6</f>
        <v xml:space="preserve"> </v>
      </c>
      <c r="G8" s="70"/>
      <c r="H8" s="70" t="s">
        <v>11</v>
      </c>
      <c r="I8" s="81">
        <v>135</v>
      </c>
    </row>
    <row r="9" spans="1:9">
      <c r="A9" s="69"/>
      <c r="B9" s="70"/>
      <c r="C9" s="70"/>
      <c r="D9" s="70"/>
      <c r="E9" s="70"/>
      <c r="F9" s="70"/>
      <c r="G9" s="70"/>
      <c r="H9" s="70"/>
      <c r="I9" s="80"/>
    </row>
    <row r="10" spans="1:9">
      <c r="A10" s="71" t="s">
        <v>12</v>
      </c>
      <c r="B10" s="70"/>
      <c r="C10" s="75" t="str">
        <f>'Stavební rozpočet'!C8</f>
        <v xml:space="preserve"> </v>
      </c>
      <c r="D10" s="70"/>
      <c r="E10" s="75" t="s">
        <v>13</v>
      </c>
      <c r="F10" s="75" t="str">
        <f>'Stavební rozpočet'!I8</f>
        <v> </v>
      </c>
      <c r="G10" s="70"/>
      <c r="H10" s="70" t="s">
        <v>14</v>
      </c>
      <c r="I10" s="82">
        <f>'Stavební rozpočet'!G8</f>
        <v>0</v>
      </c>
    </row>
    <row r="11" spans="1:9">
      <c r="A11" s="72"/>
      <c r="B11" s="73"/>
      <c r="C11" s="73"/>
      <c r="D11" s="73"/>
      <c r="E11" s="73"/>
      <c r="F11" s="73"/>
      <c r="G11" s="73"/>
      <c r="H11" s="73"/>
      <c r="I11" s="83"/>
    </row>
    <row r="13" spans="1:9" ht="15.75">
      <c r="A13" s="117" t="s">
        <v>58</v>
      </c>
      <c r="B13" s="117"/>
      <c r="C13" s="117"/>
      <c r="D13" s="117"/>
      <c r="E13" s="117"/>
    </row>
    <row r="14" spans="1:9">
      <c r="A14" s="118" t="s">
        <v>59</v>
      </c>
      <c r="B14" s="119"/>
      <c r="C14" s="119"/>
      <c r="D14" s="119"/>
      <c r="E14" s="120"/>
      <c r="F14" s="20" t="s">
        <v>60</v>
      </c>
      <c r="G14" s="20" t="s">
        <v>61</v>
      </c>
      <c r="H14" s="20" t="s">
        <v>62</v>
      </c>
      <c r="I14" s="20" t="s">
        <v>60</v>
      </c>
    </row>
    <row r="15" spans="1:9">
      <c r="A15" s="121" t="s">
        <v>24</v>
      </c>
      <c r="B15" s="122"/>
      <c r="C15" s="122"/>
      <c r="D15" s="122"/>
      <c r="E15" s="123"/>
      <c r="F15" s="21">
        <v>0</v>
      </c>
      <c r="G15" s="22" t="s">
        <v>4</v>
      </c>
      <c r="H15" s="22" t="s">
        <v>4</v>
      </c>
      <c r="I15" s="21">
        <f>F15</f>
        <v>0</v>
      </c>
    </row>
    <row r="16" spans="1:9">
      <c r="A16" s="121" t="s">
        <v>27</v>
      </c>
      <c r="B16" s="122"/>
      <c r="C16" s="122"/>
      <c r="D16" s="122"/>
      <c r="E16" s="123"/>
      <c r="F16" s="21">
        <v>0</v>
      </c>
      <c r="G16" s="22" t="s">
        <v>4</v>
      </c>
      <c r="H16" s="22" t="s">
        <v>4</v>
      </c>
      <c r="I16" s="21">
        <f>F16</f>
        <v>0</v>
      </c>
    </row>
    <row r="17" spans="1:9">
      <c r="A17" s="124" t="s">
        <v>30</v>
      </c>
      <c r="B17" s="125"/>
      <c r="C17" s="125"/>
      <c r="D17" s="125"/>
      <c r="E17" s="126"/>
      <c r="F17" s="23">
        <v>0</v>
      </c>
      <c r="G17" s="24" t="s">
        <v>4</v>
      </c>
      <c r="H17" s="24" t="s">
        <v>4</v>
      </c>
      <c r="I17" s="23">
        <f>F17</f>
        <v>0</v>
      </c>
    </row>
    <row r="18" spans="1:9">
      <c r="A18" s="127" t="s">
        <v>63</v>
      </c>
      <c r="B18" s="128"/>
      <c r="C18" s="128"/>
      <c r="D18" s="128"/>
      <c r="E18" s="129"/>
      <c r="F18" s="25" t="s">
        <v>4</v>
      </c>
      <c r="G18" s="26" t="s">
        <v>4</v>
      </c>
      <c r="H18" s="26" t="s">
        <v>4</v>
      </c>
      <c r="I18" s="27">
        <f>SUM(I15:I17)</f>
        <v>0</v>
      </c>
    </row>
    <row r="20" spans="1:9">
      <c r="A20" s="118" t="s">
        <v>21</v>
      </c>
      <c r="B20" s="119"/>
      <c r="C20" s="119"/>
      <c r="D20" s="119"/>
      <c r="E20" s="120"/>
      <c r="F20" s="20" t="s">
        <v>60</v>
      </c>
      <c r="G20" s="20" t="s">
        <v>61</v>
      </c>
      <c r="H20" s="20" t="s">
        <v>62</v>
      </c>
      <c r="I20" s="20" t="s">
        <v>60</v>
      </c>
    </row>
    <row r="21" spans="1:9">
      <c r="A21" s="121" t="s">
        <v>25</v>
      </c>
      <c r="B21" s="122"/>
      <c r="C21" s="122"/>
      <c r="D21" s="122"/>
      <c r="E21" s="123"/>
      <c r="F21" s="21">
        <v>0</v>
      </c>
      <c r="G21" s="22" t="s">
        <v>4</v>
      </c>
      <c r="H21" s="22" t="s">
        <v>4</v>
      </c>
      <c r="I21" s="21">
        <f t="shared" ref="I21:I26" si="0">F21</f>
        <v>0</v>
      </c>
    </row>
    <row r="22" spans="1:9">
      <c r="A22" s="121" t="s">
        <v>28</v>
      </c>
      <c r="B22" s="122"/>
      <c r="C22" s="122"/>
      <c r="D22" s="122"/>
      <c r="E22" s="123"/>
      <c r="F22" s="21">
        <v>0</v>
      </c>
      <c r="G22" s="22" t="s">
        <v>4</v>
      </c>
      <c r="H22" s="22" t="s">
        <v>4</v>
      </c>
      <c r="I22" s="21">
        <f t="shared" si="0"/>
        <v>0</v>
      </c>
    </row>
    <row r="23" spans="1:9">
      <c r="A23" s="121" t="s">
        <v>31</v>
      </c>
      <c r="B23" s="122"/>
      <c r="C23" s="122"/>
      <c r="D23" s="122"/>
      <c r="E23" s="123"/>
      <c r="F23" s="21">
        <v>0</v>
      </c>
      <c r="G23" s="22" t="s">
        <v>4</v>
      </c>
      <c r="H23" s="22" t="s">
        <v>4</v>
      </c>
      <c r="I23" s="21">
        <f t="shared" si="0"/>
        <v>0</v>
      </c>
    </row>
    <row r="24" spans="1:9">
      <c r="A24" s="121" t="s">
        <v>32</v>
      </c>
      <c r="B24" s="122"/>
      <c r="C24" s="122"/>
      <c r="D24" s="122"/>
      <c r="E24" s="123"/>
      <c r="F24" s="21">
        <v>0</v>
      </c>
      <c r="G24" s="22" t="s">
        <v>4</v>
      </c>
      <c r="H24" s="22" t="s">
        <v>4</v>
      </c>
      <c r="I24" s="21">
        <f t="shared" si="0"/>
        <v>0</v>
      </c>
    </row>
    <row r="25" spans="1:9">
      <c r="A25" s="121" t="s">
        <v>34</v>
      </c>
      <c r="B25" s="122"/>
      <c r="C25" s="122"/>
      <c r="D25" s="122"/>
      <c r="E25" s="123"/>
      <c r="F25" s="21">
        <v>0</v>
      </c>
      <c r="G25" s="22" t="s">
        <v>4</v>
      </c>
      <c r="H25" s="22" t="s">
        <v>4</v>
      </c>
      <c r="I25" s="21">
        <f t="shared" si="0"/>
        <v>0</v>
      </c>
    </row>
    <row r="26" spans="1:9">
      <c r="A26" s="124" t="s">
        <v>35</v>
      </c>
      <c r="B26" s="125"/>
      <c r="C26" s="125"/>
      <c r="D26" s="125"/>
      <c r="E26" s="126"/>
      <c r="F26" s="23">
        <v>0</v>
      </c>
      <c r="G26" s="24" t="s">
        <v>4</v>
      </c>
      <c r="H26" s="24" t="s">
        <v>4</v>
      </c>
      <c r="I26" s="23">
        <f t="shared" si="0"/>
        <v>0</v>
      </c>
    </row>
    <row r="27" spans="1:9">
      <c r="A27" s="127" t="s">
        <v>64</v>
      </c>
      <c r="B27" s="128"/>
      <c r="C27" s="128"/>
      <c r="D27" s="128"/>
      <c r="E27" s="129"/>
      <c r="F27" s="25" t="s">
        <v>4</v>
      </c>
      <c r="G27" s="26" t="s">
        <v>4</v>
      </c>
      <c r="H27" s="26" t="s">
        <v>4</v>
      </c>
      <c r="I27" s="27">
        <f>SUM(I21:I26)</f>
        <v>0</v>
      </c>
    </row>
    <row r="29" spans="1:9" ht="15.75">
      <c r="A29" s="130" t="s">
        <v>65</v>
      </c>
      <c r="B29" s="131"/>
      <c r="C29" s="131"/>
      <c r="D29" s="131"/>
      <c r="E29" s="132"/>
      <c r="F29" s="133">
        <f>I18+I27</f>
        <v>0</v>
      </c>
      <c r="G29" s="134"/>
      <c r="H29" s="134"/>
      <c r="I29" s="135"/>
    </row>
    <row r="33" spans="1:9" ht="15.75">
      <c r="A33" s="117" t="s">
        <v>66</v>
      </c>
      <c r="B33" s="117"/>
      <c r="C33" s="117"/>
      <c r="D33" s="117"/>
      <c r="E33" s="117"/>
    </row>
    <row r="34" spans="1:9">
      <c r="A34" s="118" t="s">
        <v>67</v>
      </c>
      <c r="B34" s="119"/>
      <c r="C34" s="119"/>
      <c r="D34" s="119"/>
      <c r="E34" s="120"/>
      <c r="F34" s="20" t="s">
        <v>60</v>
      </c>
      <c r="G34" s="20" t="s">
        <v>61</v>
      </c>
      <c r="H34" s="20" t="s">
        <v>62</v>
      </c>
      <c r="I34" s="20" t="s">
        <v>60</v>
      </c>
    </row>
    <row r="35" spans="1:9">
      <c r="A35" s="121" t="s">
        <v>68</v>
      </c>
      <c r="B35" s="122"/>
      <c r="C35" s="122"/>
      <c r="D35" s="122"/>
      <c r="E35" s="123"/>
      <c r="F35" s="21">
        <f>SUM('Stavební rozpočet'!BM12:BM496)</f>
        <v>0</v>
      </c>
      <c r="G35" s="22" t="s">
        <v>4</v>
      </c>
      <c r="H35" s="22" t="s">
        <v>4</v>
      </c>
      <c r="I35" s="21">
        <f t="shared" ref="I35:I44" si="1">F35</f>
        <v>0</v>
      </c>
    </row>
    <row r="36" spans="1:9">
      <c r="A36" s="121" t="s">
        <v>69</v>
      </c>
      <c r="B36" s="122"/>
      <c r="C36" s="122"/>
      <c r="D36" s="122"/>
      <c r="E36" s="123"/>
      <c r="F36" s="21">
        <f>SUM('Stavební rozpočet'!BN12:BN496)</f>
        <v>0</v>
      </c>
      <c r="G36" s="22" t="s">
        <v>4</v>
      </c>
      <c r="H36" s="22" t="s">
        <v>4</v>
      </c>
      <c r="I36" s="21">
        <f t="shared" si="1"/>
        <v>0</v>
      </c>
    </row>
    <row r="37" spans="1:9">
      <c r="A37" s="121" t="s">
        <v>25</v>
      </c>
      <c r="B37" s="122"/>
      <c r="C37" s="122"/>
      <c r="D37" s="122"/>
      <c r="E37" s="123"/>
      <c r="F37" s="21">
        <f>SUM('Stavební rozpočet'!BO12:BO496)</f>
        <v>0</v>
      </c>
      <c r="G37" s="22" t="s">
        <v>4</v>
      </c>
      <c r="H37" s="22" t="s">
        <v>4</v>
      </c>
      <c r="I37" s="21">
        <f t="shared" si="1"/>
        <v>0</v>
      </c>
    </row>
    <row r="38" spans="1:9">
      <c r="A38" s="121" t="s">
        <v>70</v>
      </c>
      <c r="B38" s="122"/>
      <c r="C38" s="122"/>
      <c r="D38" s="122"/>
      <c r="E38" s="123"/>
      <c r="F38" s="21">
        <f>SUM('Stavební rozpočet'!BP12:BP496)</f>
        <v>0</v>
      </c>
      <c r="G38" s="22" t="s">
        <v>4</v>
      </c>
      <c r="H38" s="22" t="s">
        <v>4</v>
      </c>
      <c r="I38" s="21">
        <f t="shared" si="1"/>
        <v>0</v>
      </c>
    </row>
    <row r="39" spans="1:9">
      <c r="A39" s="121" t="s">
        <v>71</v>
      </c>
      <c r="B39" s="122"/>
      <c r="C39" s="122"/>
      <c r="D39" s="122"/>
      <c r="E39" s="123"/>
      <c r="F39" s="21">
        <f>SUM('Stavební rozpočet'!BQ12:BQ496)</f>
        <v>0</v>
      </c>
      <c r="G39" s="22" t="s">
        <v>4</v>
      </c>
      <c r="H39" s="22" t="s">
        <v>4</v>
      </c>
      <c r="I39" s="21">
        <f t="shared" si="1"/>
        <v>0</v>
      </c>
    </row>
    <row r="40" spans="1:9">
      <c r="A40" s="121" t="s">
        <v>31</v>
      </c>
      <c r="B40" s="122"/>
      <c r="C40" s="122"/>
      <c r="D40" s="122"/>
      <c r="E40" s="123"/>
      <c r="F40" s="21">
        <f>SUM('Stavební rozpočet'!BR12:BR496)</f>
        <v>0</v>
      </c>
      <c r="G40" s="22" t="s">
        <v>4</v>
      </c>
      <c r="H40" s="22" t="s">
        <v>4</v>
      </c>
      <c r="I40" s="21">
        <f t="shared" si="1"/>
        <v>0</v>
      </c>
    </row>
    <row r="41" spans="1:9">
      <c r="A41" s="121" t="s">
        <v>32</v>
      </c>
      <c r="B41" s="122"/>
      <c r="C41" s="122"/>
      <c r="D41" s="122"/>
      <c r="E41" s="123"/>
      <c r="F41" s="21">
        <f>SUM('Stavební rozpočet'!BS12:BS496)</f>
        <v>0</v>
      </c>
      <c r="G41" s="22" t="s">
        <v>4</v>
      </c>
      <c r="H41" s="22" t="s">
        <v>4</v>
      </c>
      <c r="I41" s="21">
        <f t="shared" si="1"/>
        <v>0</v>
      </c>
    </row>
    <row r="42" spans="1:9">
      <c r="A42" s="121" t="s">
        <v>72</v>
      </c>
      <c r="B42" s="122"/>
      <c r="C42" s="122"/>
      <c r="D42" s="122"/>
      <c r="E42" s="123"/>
      <c r="F42" s="21">
        <f>SUM('Stavební rozpočet'!BT12:BT496)</f>
        <v>0</v>
      </c>
      <c r="G42" s="22" t="s">
        <v>4</v>
      </c>
      <c r="H42" s="22" t="s">
        <v>4</v>
      </c>
      <c r="I42" s="21">
        <f t="shared" si="1"/>
        <v>0</v>
      </c>
    </row>
    <row r="43" spans="1:9">
      <c r="A43" s="121" t="s">
        <v>73</v>
      </c>
      <c r="B43" s="122"/>
      <c r="C43" s="122"/>
      <c r="D43" s="122"/>
      <c r="E43" s="123"/>
      <c r="F43" s="21">
        <f>SUM('Stavební rozpočet'!BU12:BU496)</f>
        <v>0</v>
      </c>
      <c r="G43" s="22" t="s">
        <v>4</v>
      </c>
      <c r="H43" s="22" t="s">
        <v>4</v>
      </c>
      <c r="I43" s="21">
        <f t="shared" si="1"/>
        <v>0</v>
      </c>
    </row>
    <row r="44" spans="1:9">
      <c r="A44" s="124" t="s">
        <v>74</v>
      </c>
      <c r="B44" s="125"/>
      <c r="C44" s="125"/>
      <c r="D44" s="125"/>
      <c r="E44" s="126"/>
      <c r="F44" s="23">
        <f>SUM('Stavební rozpočet'!BV12:BV496)</f>
        <v>0</v>
      </c>
      <c r="G44" s="24" t="s">
        <v>4</v>
      </c>
      <c r="H44" s="24" t="s">
        <v>4</v>
      </c>
      <c r="I44" s="23">
        <f t="shared" si="1"/>
        <v>0</v>
      </c>
    </row>
    <row r="45" spans="1:9">
      <c r="A45" s="127" t="s">
        <v>75</v>
      </c>
      <c r="B45" s="128"/>
      <c r="C45" s="128"/>
      <c r="D45" s="128"/>
      <c r="E45" s="129"/>
      <c r="F45" s="25" t="s">
        <v>4</v>
      </c>
      <c r="G45" s="26" t="s">
        <v>4</v>
      </c>
      <c r="H45" s="26" t="s">
        <v>4</v>
      </c>
      <c r="I45" s="27">
        <f>SUM(I35:I44)</f>
        <v>0</v>
      </c>
    </row>
  </sheetData>
  <sheetProtection password="CF7A" sheet="1"/>
  <mergeCells count="60">
    <mergeCell ref="A41:E41"/>
    <mergeCell ref="A42:E42"/>
    <mergeCell ref="A43:E43"/>
    <mergeCell ref="A44:E44"/>
    <mergeCell ref="A45:E45"/>
    <mergeCell ref="A36:E36"/>
    <mergeCell ref="A37:E37"/>
    <mergeCell ref="A38:E38"/>
    <mergeCell ref="A39:E39"/>
    <mergeCell ref="A40:E40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251"/>
  <sheetViews>
    <sheetView workbookViewId="0">
      <pane ySplit="11" topLeftCell="A12" activePane="bottomLeft" state="frozen"/>
      <selection pane="bottomLeft" activeCell="O23" sqref="O23"/>
    </sheetView>
  </sheetViews>
  <sheetFormatPr defaultColWidth="12.140625" defaultRowHeight="15" customHeight="1"/>
  <cols>
    <col min="1" max="1" width="3.140625" customWidth="1"/>
    <col min="2" max="2" width="17.85546875" customWidth="1"/>
    <col min="3" max="3" width="42.85546875" customWidth="1"/>
    <col min="4" max="4" width="35.7109375" customWidth="1"/>
    <col min="5" max="5" width="6.7109375" customWidth="1"/>
    <col min="6" max="6" width="12.85546875" customWidth="1"/>
    <col min="7" max="7" width="12" customWidth="1"/>
    <col min="8" max="8" width="15.710937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>
      <c r="A1" s="66" t="s">
        <v>76</v>
      </c>
      <c r="B1" s="66"/>
      <c r="C1" s="66"/>
      <c r="D1" s="66"/>
      <c r="E1" s="66"/>
      <c r="F1" s="66"/>
      <c r="G1" s="66"/>
      <c r="H1" s="66"/>
      <c r="I1" s="66"/>
      <c r="J1" s="66"/>
      <c r="AS1" s="28">
        <f>SUM(AJ1:AJ2)</f>
        <v>0</v>
      </c>
      <c r="AT1" s="28">
        <f>SUM(AK1:AK2)</f>
        <v>0</v>
      </c>
      <c r="AU1" s="28">
        <f>SUM(AL1:AL2)</f>
        <v>0</v>
      </c>
    </row>
    <row r="2" spans="1:76">
      <c r="A2" s="67" t="s">
        <v>1</v>
      </c>
      <c r="B2" s="68"/>
      <c r="C2" s="76" t="s">
        <v>77</v>
      </c>
      <c r="D2" s="77"/>
      <c r="E2" s="68" t="s">
        <v>78</v>
      </c>
      <c r="F2" s="68"/>
      <c r="G2" s="138" t="s">
        <v>79</v>
      </c>
      <c r="H2" s="74" t="s">
        <v>2</v>
      </c>
      <c r="I2" s="68" t="s">
        <v>80</v>
      </c>
      <c r="J2" s="79"/>
    </row>
    <row r="3" spans="1:76">
      <c r="A3" s="69"/>
      <c r="B3" s="70"/>
      <c r="C3" s="78"/>
      <c r="D3" s="78"/>
      <c r="E3" s="70"/>
      <c r="F3" s="70"/>
      <c r="G3" s="139"/>
      <c r="H3" s="70"/>
      <c r="I3" s="70"/>
      <c r="J3" s="80"/>
    </row>
    <row r="4" spans="1:76">
      <c r="A4" s="71" t="s">
        <v>5</v>
      </c>
      <c r="B4" s="70"/>
      <c r="C4" s="75" t="s">
        <v>81</v>
      </c>
      <c r="D4" s="70"/>
      <c r="E4" s="70" t="s">
        <v>9</v>
      </c>
      <c r="F4" s="70"/>
      <c r="G4" s="139" t="s">
        <v>79</v>
      </c>
      <c r="H4" s="75" t="s">
        <v>6</v>
      </c>
      <c r="I4" s="70" t="s">
        <v>80</v>
      </c>
      <c r="J4" s="80"/>
    </row>
    <row r="5" spans="1:76">
      <c r="A5" s="69"/>
      <c r="B5" s="70"/>
      <c r="C5" s="70"/>
      <c r="D5" s="70"/>
      <c r="E5" s="70"/>
      <c r="F5" s="70"/>
      <c r="G5" s="139"/>
      <c r="H5" s="70"/>
      <c r="I5" s="70"/>
      <c r="J5" s="80"/>
    </row>
    <row r="6" spans="1:76">
      <c r="A6" s="71" t="s">
        <v>7</v>
      </c>
      <c r="B6" s="70"/>
      <c r="C6" s="75" t="s">
        <v>79</v>
      </c>
      <c r="D6" s="70"/>
      <c r="E6" s="70" t="s">
        <v>10</v>
      </c>
      <c r="F6" s="70"/>
      <c r="G6" s="139" t="s">
        <v>79</v>
      </c>
      <c r="H6" s="75" t="s">
        <v>8</v>
      </c>
      <c r="I6" s="139" t="s">
        <v>80</v>
      </c>
      <c r="J6" s="141"/>
    </row>
    <row r="7" spans="1:76">
      <c r="A7" s="69"/>
      <c r="B7" s="70"/>
      <c r="C7" s="70"/>
      <c r="D7" s="70"/>
      <c r="E7" s="70"/>
      <c r="F7" s="70"/>
      <c r="G7" s="139"/>
      <c r="H7" s="70"/>
      <c r="I7" s="139"/>
      <c r="J7" s="141"/>
    </row>
    <row r="8" spans="1:76">
      <c r="A8" s="71" t="s">
        <v>12</v>
      </c>
      <c r="B8" s="70"/>
      <c r="C8" s="75" t="s">
        <v>79</v>
      </c>
      <c r="D8" s="70"/>
      <c r="E8" s="70" t="s">
        <v>82</v>
      </c>
      <c r="F8" s="70"/>
      <c r="G8" s="139"/>
      <c r="H8" s="75" t="s">
        <v>13</v>
      </c>
      <c r="I8" s="139" t="s">
        <v>80</v>
      </c>
      <c r="J8" s="141"/>
    </row>
    <row r="9" spans="1:76">
      <c r="A9" s="136"/>
      <c r="B9" s="137"/>
      <c r="C9" s="137"/>
      <c r="D9" s="137"/>
      <c r="E9" s="137"/>
      <c r="F9" s="137"/>
      <c r="G9" s="140"/>
      <c r="H9" s="137"/>
      <c r="I9" s="142"/>
      <c r="J9" s="143"/>
    </row>
    <row r="10" spans="1:76">
      <c r="A10" s="29" t="s">
        <v>83</v>
      </c>
      <c r="B10" s="30" t="s">
        <v>84</v>
      </c>
      <c r="C10" s="144" t="s">
        <v>85</v>
      </c>
      <c r="D10" s="145"/>
      <c r="E10" s="30" t="s">
        <v>86</v>
      </c>
      <c r="F10" s="31" t="s">
        <v>87</v>
      </c>
      <c r="G10" s="32" t="s">
        <v>88</v>
      </c>
      <c r="H10" s="33" t="s">
        <v>89</v>
      </c>
      <c r="J10" s="34"/>
      <c r="BK10" s="35" t="s">
        <v>90</v>
      </c>
      <c r="BL10" s="36" t="s">
        <v>91</v>
      </c>
      <c r="BW10" s="36" t="s">
        <v>92</v>
      </c>
    </row>
    <row r="11" spans="1:76">
      <c r="A11" s="37" t="s">
        <v>79</v>
      </c>
      <c r="B11" s="38" t="s">
        <v>79</v>
      </c>
      <c r="C11" s="146" t="s">
        <v>93</v>
      </c>
      <c r="D11" s="147"/>
      <c r="E11" s="38" t="s">
        <v>79</v>
      </c>
      <c r="F11" s="38" t="s">
        <v>79</v>
      </c>
      <c r="G11" s="39" t="s">
        <v>94</v>
      </c>
      <c r="H11" s="40" t="s">
        <v>95</v>
      </c>
      <c r="J11" s="41"/>
      <c r="Z11" s="35" t="s">
        <v>96</v>
      </c>
      <c r="AA11" s="35" t="s">
        <v>97</v>
      </c>
      <c r="AB11" s="35" t="s">
        <v>98</v>
      </c>
      <c r="AC11" s="35" t="s">
        <v>99</v>
      </c>
      <c r="AD11" s="35" t="s">
        <v>100</v>
      </c>
      <c r="AE11" s="35" t="s">
        <v>101</v>
      </c>
      <c r="AF11" s="35" t="s">
        <v>102</v>
      </c>
      <c r="AG11" s="35" t="s">
        <v>103</v>
      </c>
      <c r="AH11" s="35" t="s">
        <v>104</v>
      </c>
      <c r="BH11" s="35" t="s">
        <v>105</v>
      </c>
      <c r="BI11" s="35" t="s">
        <v>106</v>
      </c>
      <c r="BJ11" s="35" t="s">
        <v>107</v>
      </c>
    </row>
    <row r="12" spans="1:76">
      <c r="A12" s="42" t="s">
        <v>4</v>
      </c>
      <c r="B12" s="43" t="s">
        <v>4</v>
      </c>
      <c r="C12" s="148" t="s">
        <v>108</v>
      </c>
      <c r="D12" s="149"/>
      <c r="E12" s="44" t="s">
        <v>79</v>
      </c>
      <c r="F12" s="44" t="s">
        <v>79</v>
      </c>
      <c r="G12" s="45" t="s">
        <v>79</v>
      </c>
      <c r="H12" s="46">
        <f>H13+H27+H66+H74+H83+H104+H106+H118+H129+H141+H160+H164+H166+H183+H196+H211+H215+H226+H231+H238+H245+H247</f>
        <v>0</v>
      </c>
      <c r="J12" s="41"/>
    </row>
    <row r="13" spans="1:76">
      <c r="A13" s="47" t="s">
        <v>4</v>
      </c>
      <c r="B13" s="48" t="s">
        <v>109</v>
      </c>
      <c r="C13" s="150" t="s">
        <v>110</v>
      </c>
      <c r="D13" s="151"/>
      <c r="E13" s="49" t="s">
        <v>79</v>
      </c>
      <c r="F13" s="49" t="s">
        <v>79</v>
      </c>
      <c r="G13" s="50" t="s">
        <v>79</v>
      </c>
      <c r="H13" s="28">
        <f>SUM(H14:H25)</f>
        <v>0</v>
      </c>
      <c r="J13" s="41"/>
      <c r="AI13" s="35" t="s">
        <v>4</v>
      </c>
      <c r="AS13" s="28">
        <f>SUM(AJ14:AJ25)</f>
        <v>0</v>
      </c>
      <c r="AT13" s="28">
        <f>SUM(AK14:AK25)</f>
        <v>0</v>
      </c>
      <c r="AU13" s="28">
        <f>SUM(AL14:AL25)</f>
        <v>0</v>
      </c>
    </row>
    <row r="14" spans="1:76">
      <c r="A14" s="1" t="s">
        <v>111</v>
      </c>
      <c r="B14" s="2" t="s">
        <v>112</v>
      </c>
      <c r="C14" s="75" t="s">
        <v>113</v>
      </c>
      <c r="D14" s="70"/>
      <c r="E14" s="2" t="s">
        <v>114</v>
      </c>
      <c r="F14" s="51">
        <v>2</v>
      </c>
      <c r="G14" s="52">
        <v>0</v>
      </c>
      <c r="H14" s="51">
        <f>ROUND(F14*G14,2)</f>
        <v>0</v>
      </c>
      <c r="J14" s="41"/>
      <c r="Z14" s="51">
        <f>ROUND(IF(AQ14="5",BJ14,0),2)</f>
        <v>0</v>
      </c>
      <c r="AB14" s="51">
        <f>ROUND(IF(AQ14="1",BH14,0),2)</f>
        <v>0</v>
      </c>
      <c r="AC14" s="51">
        <f>ROUND(IF(AQ14="1",BI14,0),2)</f>
        <v>0</v>
      </c>
      <c r="AD14" s="51">
        <f>ROUND(IF(AQ14="7",BH14,0),2)</f>
        <v>0</v>
      </c>
      <c r="AE14" s="51">
        <f>ROUND(IF(AQ14="7",BI14,0),2)</f>
        <v>0</v>
      </c>
      <c r="AF14" s="51">
        <f>ROUND(IF(AQ14="2",BH14,0),2)</f>
        <v>0</v>
      </c>
      <c r="AG14" s="51">
        <f>ROUND(IF(AQ14="2",BI14,0),2)</f>
        <v>0</v>
      </c>
      <c r="AH14" s="51">
        <f>ROUND(IF(AQ14="0",BJ14,0),2)</f>
        <v>0</v>
      </c>
      <c r="AI14" s="35" t="s">
        <v>4</v>
      </c>
      <c r="AJ14" s="51">
        <f>IF(AN14=0,H14,0)</f>
        <v>0</v>
      </c>
      <c r="AK14" s="51">
        <f>IF(AN14=12,H14,0)</f>
        <v>0</v>
      </c>
      <c r="AL14" s="51">
        <f>IF(AN14=21,H14,0)</f>
        <v>0</v>
      </c>
      <c r="AN14" s="51">
        <v>12</v>
      </c>
      <c r="AO14" s="51">
        <f>G14*0.414573643</f>
        <v>0</v>
      </c>
      <c r="AP14" s="51">
        <f>G14*(1-0.414573643)</f>
        <v>0</v>
      </c>
      <c r="AQ14" s="53" t="s">
        <v>111</v>
      </c>
      <c r="AV14" s="51">
        <f>ROUND(AW14+AX14,2)</f>
        <v>0</v>
      </c>
      <c r="AW14" s="51">
        <f>ROUND(F14*AO14,2)</f>
        <v>0</v>
      </c>
      <c r="AX14" s="51">
        <f>ROUND(F14*AP14,2)</f>
        <v>0</v>
      </c>
      <c r="AY14" s="53" t="s">
        <v>115</v>
      </c>
      <c r="AZ14" s="53" t="s">
        <v>116</v>
      </c>
      <c r="BA14" s="35" t="s">
        <v>117</v>
      </c>
      <c r="BC14" s="51">
        <f>AW14+AX14</f>
        <v>0</v>
      </c>
      <c r="BD14" s="51">
        <f>G14/(100-BE14)*100</f>
        <v>0</v>
      </c>
      <c r="BE14" s="51">
        <v>0</v>
      </c>
      <c r="BF14" s="51">
        <f>14</f>
        <v>14</v>
      </c>
      <c r="BH14" s="51">
        <f>F14*AO14</f>
        <v>0</v>
      </c>
      <c r="BI14" s="51">
        <f>F14*AP14</f>
        <v>0</v>
      </c>
      <c r="BJ14" s="51">
        <f>F14*G14</f>
        <v>0</v>
      </c>
      <c r="BK14" s="53" t="s">
        <v>118</v>
      </c>
      <c r="BL14" s="51">
        <v>34</v>
      </c>
      <c r="BW14" s="51">
        <v>12</v>
      </c>
      <c r="BX14" s="3" t="s">
        <v>113</v>
      </c>
    </row>
    <row r="15" spans="1:76" ht="13.5" customHeight="1">
      <c r="A15" s="54"/>
      <c r="B15" s="55" t="s">
        <v>119</v>
      </c>
      <c r="C15" s="152" t="s">
        <v>120</v>
      </c>
      <c r="D15" s="153"/>
      <c r="E15" s="153"/>
      <c r="F15" s="153"/>
      <c r="G15" s="154"/>
      <c r="H15" s="153"/>
      <c r="I15" s="153"/>
      <c r="J15" s="155"/>
    </row>
    <row r="16" spans="1:76">
      <c r="A16" s="1" t="s">
        <v>121</v>
      </c>
      <c r="B16" s="2" t="s">
        <v>122</v>
      </c>
      <c r="C16" s="75" t="s">
        <v>123</v>
      </c>
      <c r="D16" s="70"/>
      <c r="E16" s="2" t="s">
        <v>124</v>
      </c>
      <c r="F16" s="51">
        <v>2.09</v>
      </c>
      <c r="G16" s="52">
        <v>0</v>
      </c>
      <c r="H16" s="51">
        <f>ROUND(F16*G16,2)</f>
        <v>0</v>
      </c>
      <c r="J16" s="41"/>
      <c r="Z16" s="51">
        <f>ROUND(IF(AQ16="5",BJ16,0),2)</f>
        <v>0</v>
      </c>
      <c r="AB16" s="51">
        <f>ROUND(IF(AQ16="1",BH16,0),2)</f>
        <v>0</v>
      </c>
      <c r="AC16" s="51">
        <f>ROUND(IF(AQ16="1",BI16,0),2)</f>
        <v>0</v>
      </c>
      <c r="AD16" s="51">
        <f>ROUND(IF(AQ16="7",BH16,0),2)</f>
        <v>0</v>
      </c>
      <c r="AE16" s="51">
        <f>ROUND(IF(AQ16="7",BI16,0),2)</f>
        <v>0</v>
      </c>
      <c r="AF16" s="51">
        <f>ROUND(IF(AQ16="2",BH16,0),2)</f>
        <v>0</v>
      </c>
      <c r="AG16" s="51">
        <f>ROUND(IF(AQ16="2",BI16,0),2)</f>
        <v>0</v>
      </c>
      <c r="AH16" s="51">
        <f>ROUND(IF(AQ16="0",BJ16,0),2)</f>
        <v>0</v>
      </c>
      <c r="AI16" s="35" t="s">
        <v>4</v>
      </c>
      <c r="AJ16" s="51">
        <f>IF(AN16=0,H16,0)</f>
        <v>0</v>
      </c>
      <c r="AK16" s="51">
        <f>IF(AN16=12,H16,0)</f>
        <v>0</v>
      </c>
      <c r="AL16" s="51">
        <f>IF(AN16=21,H16,0)</f>
        <v>0</v>
      </c>
      <c r="AN16" s="51">
        <v>12</v>
      </c>
      <c r="AO16" s="51">
        <f>G16*0.501072872</f>
        <v>0</v>
      </c>
      <c r="AP16" s="51">
        <f>G16*(1-0.501072872)</f>
        <v>0</v>
      </c>
      <c r="AQ16" s="53" t="s">
        <v>111</v>
      </c>
      <c r="AV16" s="51">
        <f>ROUND(AW16+AX16,2)</f>
        <v>0</v>
      </c>
      <c r="AW16" s="51">
        <f>ROUND(F16*AO16,2)</f>
        <v>0</v>
      </c>
      <c r="AX16" s="51">
        <f>ROUND(F16*AP16,2)</f>
        <v>0</v>
      </c>
      <c r="AY16" s="53" t="s">
        <v>115</v>
      </c>
      <c r="AZ16" s="53" t="s">
        <v>116</v>
      </c>
      <c r="BA16" s="35" t="s">
        <v>117</v>
      </c>
      <c r="BC16" s="51">
        <f>AW16+AX16</f>
        <v>0</v>
      </c>
      <c r="BD16" s="51">
        <f>G16/(100-BE16)*100</f>
        <v>0</v>
      </c>
      <c r="BE16" s="51">
        <v>0</v>
      </c>
      <c r="BF16" s="51">
        <f>16</f>
        <v>16</v>
      </c>
      <c r="BH16" s="51">
        <f>F16*AO16</f>
        <v>0</v>
      </c>
      <c r="BI16" s="51">
        <f>F16*AP16</f>
        <v>0</v>
      </c>
      <c r="BJ16" s="51">
        <f>F16*G16</f>
        <v>0</v>
      </c>
      <c r="BK16" s="53" t="s">
        <v>118</v>
      </c>
      <c r="BL16" s="51">
        <v>34</v>
      </c>
      <c r="BW16" s="51">
        <v>12</v>
      </c>
      <c r="BX16" s="3" t="s">
        <v>123</v>
      </c>
    </row>
    <row r="17" spans="1:76">
      <c r="A17" s="54"/>
      <c r="C17" s="56" t="s">
        <v>125</v>
      </c>
      <c r="D17" s="57" t="s">
        <v>126</v>
      </c>
      <c r="F17" s="58">
        <v>2.09</v>
      </c>
      <c r="J17" s="41"/>
    </row>
    <row r="18" spans="1:76">
      <c r="A18" s="1" t="s">
        <v>127</v>
      </c>
      <c r="B18" s="2" t="s">
        <v>128</v>
      </c>
      <c r="C18" s="75" t="s">
        <v>129</v>
      </c>
      <c r="D18" s="70"/>
      <c r="E18" s="2" t="s">
        <v>124</v>
      </c>
      <c r="F18" s="51">
        <v>19.71</v>
      </c>
      <c r="G18" s="52">
        <v>0</v>
      </c>
      <c r="H18" s="51">
        <f>ROUND(F18*G18,2)</f>
        <v>0</v>
      </c>
      <c r="J18" s="41"/>
      <c r="Z18" s="51">
        <f>ROUND(IF(AQ18="5",BJ18,0),2)</f>
        <v>0</v>
      </c>
      <c r="AB18" s="51">
        <f>ROUND(IF(AQ18="1",BH18,0),2)</f>
        <v>0</v>
      </c>
      <c r="AC18" s="51">
        <f>ROUND(IF(AQ18="1",BI18,0),2)</f>
        <v>0</v>
      </c>
      <c r="AD18" s="51">
        <f>ROUND(IF(AQ18="7",BH18,0),2)</f>
        <v>0</v>
      </c>
      <c r="AE18" s="51">
        <f>ROUND(IF(AQ18="7",BI18,0),2)</f>
        <v>0</v>
      </c>
      <c r="AF18" s="51">
        <f>ROUND(IF(AQ18="2",BH18,0),2)</f>
        <v>0</v>
      </c>
      <c r="AG18" s="51">
        <f>ROUND(IF(AQ18="2",BI18,0),2)</f>
        <v>0</v>
      </c>
      <c r="AH18" s="51">
        <f>ROUND(IF(AQ18="0",BJ18,0),2)</f>
        <v>0</v>
      </c>
      <c r="AI18" s="35" t="s">
        <v>4</v>
      </c>
      <c r="AJ18" s="51">
        <f>IF(AN18=0,H18,0)</f>
        <v>0</v>
      </c>
      <c r="AK18" s="51">
        <f>IF(AN18=12,H18,0)</f>
        <v>0</v>
      </c>
      <c r="AL18" s="51">
        <f>IF(AN18=21,H18,0)</f>
        <v>0</v>
      </c>
      <c r="AN18" s="51">
        <v>12</v>
      </c>
      <c r="AO18" s="51">
        <f>G18*0.603356891</f>
        <v>0</v>
      </c>
      <c r="AP18" s="51">
        <f>G18*(1-0.603356891)</f>
        <v>0</v>
      </c>
      <c r="AQ18" s="53" t="s">
        <v>111</v>
      </c>
      <c r="AV18" s="51">
        <f>ROUND(AW18+AX18,2)</f>
        <v>0</v>
      </c>
      <c r="AW18" s="51">
        <f>ROUND(F18*AO18,2)</f>
        <v>0</v>
      </c>
      <c r="AX18" s="51">
        <f>ROUND(F18*AP18,2)</f>
        <v>0</v>
      </c>
      <c r="AY18" s="53" t="s">
        <v>115</v>
      </c>
      <c r="AZ18" s="53" t="s">
        <v>116</v>
      </c>
      <c r="BA18" s="35" t="s">
        <v>117</v>
      </c>
      <c r="BC18" s="51">
        <f>AW18+AX18</f>
        <v>0</v>
      </c>
      <c r="BD18" s="51">
        <f>G18/(100-BE18)*100</f>
        <v>0</v>
      </c>
      <c r="BE18" s="51">
        <v>0</v>
      </c>
      <c r="BF18" s="51">
        <f>18</f>
        <v>18</v>
      </c>
      <c r="BH18" s="51">
        <f>F18*AO18</f>
        <v>0</v>
      </c>
      <c r="BI18" s="51">
        <f>F18*AP18</f>
        <v>0</v>
      </c>
      <c r="BJ18" s="51">
        <f>F18*G18</f>
        <v>0</v>
      </c>
      <c r="BK18" s="53" t="s">
        <v>118</v>
      </c>
      <c r="BL18" s="51">
        <v>34</v>
      </c>
      <c r="BW18" s="51">
        <v>12</v>
      </c>
      <c r="BX18" s="3" t="s">
        <v>129</v>
      </c>
    </row>
    <row r="19" spans="1:76">
      <c r="A19" s="54"/>
      <c r="C19" s="56" t="s">
        <v>130</v>
      </c>
      <c r="D19" s="57" t="s">
        <v>131</v>
      </c>
      <c r="F19" s="58">
        <v>24.31</v>
      </c>
      <c r="J19" s="41"/>
    </row>
    <row r="20" spans="1:76">
      <c r="A20" s="54"/>
      <c r="C20" s="56" t="s">
        <v>132</v>
      </c>
      <c r="D20" s="57" t="s">
        <v>4</v>
      </c>
      <c r="F20" s="58">
        <v>-4.5999999999999996</v>
      </c>
      <c r="J20" s="41"/>
    </row>
    <row r="21" spans="1:76">
      <c r="A21" s="1" t="s">
        <v>133</v>
      </c>
      <c r="B21" s="2" t="s">
        <v>134</v>
      </c>
      <c r="C21" s="75" t="s">
        <v>135</v>
      </c>
      <c r="D21" s="70"/>
      <c r="E21" s="2" t="s">
        <v>114</v>
      </c>
      <c r="F21" s="51">
        <v>3</v>
      </c>
      <c r="G21" s="52">
        <v>0</v>
      </c>
      <c r="H21" s="51">
        <f>ROUND(F21*G21,2)</f>
        <v>0</v>
      </c>
      <c r="J21" s="41"/>
      <c r="Z21" s="51">
        <f>ROUND(IF(AQ21="5",BJ21,0),2)</f>
        <v>0</v>
      </c>
      <c r="AB21" s="51">
        <f>ROUND(IF(AQ21="1",BH21,0),2)</f>
        <v>0</v>
      </c>
      <c r="AC21" s="51">
        <f>ROUND(IF(AQ21="1",BI21,0),2)</f>
        <v>0</v>
      </c>
      <c r="AD21" s="51">
        <f>ROUND(IF(AQ21="7",BH21,0),2)</f>
        <v>0</v>
      </c>
      <c r="AE21" s="51">
        <f>ROUND(IF(AQ21="7",BI21,0),2)</f>
        <v>0</v>
      </c>
      <c r="AF21" s="51">
        <f>ROUND(IF(AQ21="2",BH21,0),2)</f>
        <v>0</v>
      </c>
      <c r="AG21" s="51">
        <f>ROUND(IF(AQ21="2",BI21,0),2)</f>
        <v>0</v>
      </c>
      <c r="AH21" s="51">
        <f>ROUND(IF(AQ21="0",BJ21,0),2)</f>
        <v>0</v>
      </c>
      <c r="AI21" s="35" t="s">
        <v>4</v>
      </c>
      <c r="AJ21" s="51">
        <f>IF(AN21=0,H21,0)</f>
        <v>0</v>
      </c>
      <c r="AK21" s="51">
        <f>IF(AN21=12,H21,0)</f>
        <v>0</v>
      </c>
      <c r="AL21" s="51">
        <f>IF(AN21=21,H21,0)</f>
        <v>0</v>
      </c>
      <c r="AN21" s="51">
        <v>12</v>
      </c>
      <c r="AO21" s="51">
        <f>G21*0.8382846</f>
        <v>0</v>
      </c>
      <c r="AP21" s="51">
        <f>G21*(1-0.8382846)</f>
        <v>0</v>
      </c>
      <c r="AQ21" s="53" t="s">
        <v>111</v>
      </c>
      <c r="AV21" s="51">
        <f>ROUND(AW21+AX21,2)</f>
        <v>0</v>
      </c>
      <c r="AW21" s="51">
        <f>ROUND(F21*AO21,2)</f>
        <v>0</v>
      </c>
      <c r="AX21" s="51">
        <f>ROUND(F21*AP21,2)</f>
        <v>0</v>
      </c>
      <c r="AY21" s="53" t="s">
        <v>115</v>
      </c>
      <c r="AZ21" s="53" t="s">
        <v>116</v>
      </c>
      <c r="BA21" s="35" t="s">
        <v>117</v>
      </c>
      <c r="BC21" s="51">
        <f>AW21+AX21</f>
        <v>0</v>
      </c>
      <c r="BD21" s="51">
        <f>G21/(100-BE21)*100</f>
        <v>0</v>
      </c>
      <c r="BE21" s="51">
        <v>0</v>
      </c>
      <c r="BF21" s="51">
        <f>21</f>
        <v>21</v>
      </c>
      <c r="BH21" s="51">
        <f>F21*AO21</f>
        <v>0</v>
      </c>
      <c r="BI21" s="51">
        <f>F21*AP21</f>
        <v>0</v>
      </c>
      <c r="BJ21" s="51">
        <f>F21*G21</f>
        <v>0</v>
      </c>
      <c r="BK21" s="53" t="s">
        <v>118</v>
      </c>
      <c r="BL21" s="51">
        <v>34</v>
      </c>
      <c r="BW21" s="51">
        <v>12</v>
      </c>
      <c r="BX21" s="3" t="s">
        <v>135</v>
      </c>
    </row>
    <row r="22" spans="1:76" ht="13.5" customHeight="1">
      <c r="A22" s="54"/>
      <c r="B22" s="55" t="s">
        <v>119</v>
      </c>
      <c r="C22" s="152" t="s">
        <v>136</v>
      </c>
      <c r="D22" s="153"/>
      <c r="E22" s="153"/>
      <c r="F22" s="153"/>
      <c r="G22" s="154"/>
      <c r="H22" s="153"/>
      <c r="I22" s="153"/>
      <c r="J22" s="155"/>
    </row>
    <row r="23" spans="1:76">
      <c r="A23" s="1" t="s">
        <v>137</v>
      </c>
      <c r="B23" s="2" t="s">
        <v>138</v>
      </c>
      <c r="C23" s="75" t="s">
        <v>139</v>
      </c>
      <c r="D23" s="70"/>
      <c r="E23" s="2" t="s">
        <v>140</v>
      </c>
      <c r="F23" s="51">
        <v>9.35</v>
      </c>
      <c r="G23" s="52">
        <v>0</v>
      </c>
      <c r="H23" s="51">
        <f>ROUND(F23*G23,2)</f>
        <v>0</v>
      </c>
      <c r="J23" s="41"/>
      <c r="Z23" s="51">
        <f>ROUND(IF(AQ23="5",BJ23,0),2)</f>
        <v>0</v>
      </c>
      <c r="AB23" s="51">
        <f>ROUND(IF(AQ23="1",BH23,0),2)</f>
        <v>0</v>
      </c>
      <c r="AC23" s="51">
        <f>ROUND(IF(AQ23="1",BI23,0),2)</f>
        <v>0</v>
      </c>
      <c r="AD23" s="51">
        <f>ROUND(IF(AQ23="7",BH23,0),2)</f>
        <v>0</v>
      </c>
      <c r="AE23" s="51">
        <f>ROUND(IF(AQ23="7",BI23,0),2)</f>
        <v>0</v>
      </c>
      <c r="AF23" s="51">
        <f>ROUND(IF(AQ23="2",BH23,0),2)</f>
        <v>0</v>
      </c>
      <c r="AG23" s="51">
        <f>ROUND(IF(AQ23="2",BI23,0),2)</f>
        <v>0</v>
      </c>
      <c r="AH23" s="51">
        <f>ROUND(IF(AQ23="0",BJ23,0),2)</f>
        <v>0</v>
      </c>
      <c r="AI23" s="35" t="s">
        <v>4</v>
      </c>
      <c r="AJ23" s="51">
        <f>IF(AN23=0,H23,0)</f>
        <v>0</v>
      </c>
      <c r="AK23" s="51">
        <f>IF(AN23=12,H23,0)</f>
        <v>0</v>
      </c>
      <c r="AL23" s="51">
        <f>IF(AN23=21,H23,0)</f>
        <v>0</v>
      </c>
      <c r="AN23" s="51">
        <v>12</v>
      </c>
      <c r="AO23" s="51">
        <f>G23*0.154950114</f>
        <v>0</v>
      </c>
      <c r="AP23" s="51">
        <f>G23*(1-0.154950114)</f>
        <v>0</v>
      </c>
      <c r="AQ23" s="53" t="s">
        <v>111</v>
      </c>
      <c r="AV23" s="51">
        <f>ROUND(AW23+AX23,2)</f>
        <v>0</v>
      </c>
      <c r="AW23" s="51">
        <f>ROUND(F23*AO23,2)</f>
        <v>0</v>
      </c>
      <c r="AX23" s="51">
        <f>ROUND(F23*AP23,2)</f>
        <v>0</v>
      </c>
      <c r="AY23" s="53" t="s">
        <v>115</v>
      </c>
      <c r="AZ23" s="53" t="s">
        <v>116</v>
      </c>
      <c r="BA23" s="35" t="s">
        <v>117</v>
      </c>
      <c r="BC23" s="51">
        <f>AW23+AX23</f>
        <v>0</v>
      </c>
      <c r="BD23" s="51">
        <f>G23/(100-BE23)*100</f>
        <v>0</v>
      </c>
      <c r="BE23" s="51">
        <v>0</v>
      </c>
      <c r="BF23" s="51">
        <f>23</f>
        <v>23</v>
      </c>
      <c r="BH23" s="51">
        <f>F23*AO23</f>
        <v>0</v>
      </c>
      <c r="BI23" s="51">
        <f>F23*AP23</f>
        <v>0</v>
      </c>
      <c r="BJ23" s="51">
        <f>F23*G23</f>
        <v>0</v>
      </c>
      <c r="BK23" s="53" t="s">
        <v>118</v>
      </c>
      <c r="BL23" s="51">
        <v>34</v>
      </c>
      <c r="BW23" s="51">
        <v>12</v>
      </c>
      <c r="BX23" s="3" t="s">
        <v>139</v>
      </c>
    </row>
    <row r="24" spans="1:76">
      <c r="A24" s="54"/>
      <c r="C24" s="56" t="s">
        <v>141</v>
      </c>
      <c r="D24" s="57" t="s">
        <v>131</v>
      </c>
      <c r="F24" s="58">
        <v>9.35</v>
      </c>
      <c r="J24" s="41"/>
    </row>
    <row r="25" spans="1:76">
      <c r="A25" s="1" t="s">
        <v>142</v>
      </c>
      <c r="B25" s="2" t="s">
        <v>143</v>
      </c>
      <c r="C25" s="75" t="s">
        <v>144</v>
      </c>
      <c r="D25" s="70"/>
      <c r="E25" s="2" t="s">
        <v>140</v>
      </c>
      <c r="F25" s="51">
        <v>10.4</v>
      </c>
      <c r="G25" s="52">
        <v>0</v>
      </c>
      <c r="H25" s="51">
        <f>ROUND(F25*G25,2)</f>
        <v>0</v>
      </c>
      <c r="J25" s="41"/>
      <c r="Z25" s="51">
        <f>ROUND(IF(AQ25="5",BJ25,0),2)</f>
        <v>0</v>
      </c>
      <c r="AB25" s="51">
        <f>ROUND(IF(AQ25="1",BH25,0),2)</f>
        <v>0</v>
      </c>
      <c r="AC25" s="51">
        <f>ROUND(IF(AQ25="1",BI25,0),2)</f>
        <v>0</v>
      </c>
      <c r="AD25" s="51">
        <f>ROUND(IF(AQ25="7",BH25,0),2)</f>
        <v>0</v>
      </c>
      <c r="AE25" s="51">
        <f>ROUND(IF(AQ25="7",BI25,0),2)</f>
        <v>0</v>
      </c>
      <c r="AF25" s="51">
        <f>ROUND(IF(AQ25="2",BH25,0),2)</f>
        <v>0</v>
      </c>
      <c r="AG25" s="51">
        <f>ROUND(IF(AQ25="2",BI25,0),2)</f>
        <v>0</v>
      </c>
      <c r="AH25" s="51">
        <f>ROUND(IF(AQ25="0",BJ25,0),2)</f>
        <v>0</v>
      </c>
      <c r="AI25" s="35" t="s">
        <v>4</v>
      </c>
      <c r="AJ25" s="51">
        <f>IF(AN25=0,H25,0)</f>
        <v>0</v>
      </c>
      <c r="AK25" s="51">
        <f>IF(AN25=12,H25,0)</f>
        <v>0</v>
      </c>
      <c r="AL25" s="51">
        <f>IF(AN25=21,H25,0)</f>
        <v>0</v>
      </c>
      <c r="AN25" s="51">
        <v>12</v>
      </c>
      <c r="AO25" s="51">
        <f>G25*0.177739868</f>
        <v>0</v>
      </c>
      <c r="AP25" s="51">
        <f>G25*(1-0.177739868)</f>
        <v>0</v>
      </c>
      <c r="AQ25" s="53" t="s">
        <v>111</v>
      </c>
      <c r="AV25" s="51">
        <f>ROUND(AW25+AX25,2)</f>
        <v>0</v>
      </c>
      <c r="AW25" s="51">
        <f>ROUND(F25*AO25,2)</f>
        <v>0</v>
      </c>
      <c r="AX25" s="51">
        <f>ROUND(F25*AP25,2)</f>
        <v>0</v>
      </c>
      <c r="AY25" s="53" t="s">
        <v>115</v>
      </c>
      <c r="AZ25" s="53" t="s">
        <v>116</v>
      </c>
      <c r="BA25" s="35" t="s">
        <v>117</v>
      </c>
      <c r="BC25" s="51">
        <f>AW25+AX25</f>
        <v>0</v>
      </c>
      <c r="BD25" s="51">
        <f>G25/(100-BE25)*100</f>
        <v>0</v>
      </c>
      <c r="BE25" s="51">
        <v>0</v>
      </c>
      <c r="BF25" s="51">
        <f>25</f>
        <v>25</v>
      </c>
      <c r="BH25" s="51">
        <f>F25*AO25</f>
        <v>0</v>
      </c>
      <c r="BI25" s="51">
        <f>F25*AP25</f>
        <v>0</v>
      </c>
      <c r="BJ25" s="51">
        <f>F25*G25</f>
        <v>0</v>
      </c>
      <c r="BK25" s="53" t="s">
        <v>118</v>
      </c>
      <c r="BL25" s="51">
        <v>34</v>
      </c>
      <c r="BW25" s="51">
        <v>12</v>
      </c>
      <c r="BX25" s="3" t="s">
        <v>144</v>
      </c>
    </row>
    <row r="26" spans="1:76">
      <c r="A26" s="54"/>
      <c r="C26" s="56" t="s">
        <v>145</v>
      </c>
      <c r="D26" s="57" t="s">
        <v>4</v>
      </c>
      <c r="F26" s="58">
        <v>10.4</v>
      </c>
      <c r="J26" s="41"/>
    </row>
    <row r="27" spans="1:76">
      <c r="A27" s="47" t="s">
        <v>4</v>
      </c>
      <c r="B27" s="48" t="s">
        <v>146</v>
      </c>
      <c r="C27" s="150" t="s">
        <v>147</v>
      </c>
      <c r="D27" s="151"/>
      <c r="E27" s="49" t="s">
        <v>79</v>
      </c>
      <c r="F27" s="49" t="s">
        <v>79</v>
      </c>
      <c r="G27" s="50" t="s">
        <v>79</v>
      </c>
      <c r="H27" s="28">
        <f>SUM(H28:H64)</f>
        <v>0</v>
      </c>
      <c r="J27" s="41"/>
      <c r="AI27" s="35" t="s">
        <v>4</v>
      </c>
      <c r="AS27" s="28">
        <f>SUM(AJ28:AJ64)</f>
        <v>0</v>
      </c>
      <c r="AT27" s="28">
        <f>SUM(AK28:AK64)</f>
        <v>0</v>
      </c>
      <c r="AU27" s="28">
        <f>SUM(AL28:AL64)</f>
        <v>0</v>
      </c>
    </row>
    <row r="28" spans="1:76">
      <c r="A28" s="1" t="s">
        <v>148</v>
      </c>
      <c r="B28" s="2" t="s">
        <v>149</v>
      </c>
      <c r="C28" s="75" t="s">
        <v>150</v>
      </c>
      <c r="D28" s="70"/>
      <c r="E28" s="2" t="s">
        <v>124</v>
      </c>
      <c r="F28" s="51">
        <v>38.83</v>
      </c>
      <c r="G28" s="52">
        <v>0</v>
      </c>
      <c r="H28" s="51">
        <f>ROUND(F28*G28,2)</f>
        <v>0</v>
      </c>
      <c r="J28" s="41"/>
      <c r="Z28" s="51">
        <f>ROUND(IF(AQ28="5",BJ28,0),2)</f>
        <v>0</v>
      </c>
      <c r="AB28" s="51">
        <f>ROUND(IF(AQ28="1",BH28,0),2)</f>
        <v>0</v>
      </c>
      <c r="AC28" s="51">
        <f>ROUND(IF(AQ28="1",BI28,0),2)</f>
        <v>0</v>
      </c>
      <c r="AD28" s="51">
        <f>ROUND(IF(AQ28="7",BH28,0),2)</f>
        <v>0</v>
      </c>
      <c r="AE28" s="51">
        <f>ROUND(IF(AQ28="7",BI28,0),2)</f>
        <v>0</v>
      </c>
      <c r="AF28" s="51">
        <f>ROUND(IF(AQ28="2",BH28,0),2)</f>
        <v>0</v>
      </c>
      <c r="AG28" s="51">
        <f>ROUND(IF(AQ28="2",BI28,0),2)</f>
        <v>0</v>
      </c>
      <c r="AH28" s="51">
        <f>ROUND(IF(AQ28="0",BJ28,0),2)</f>
        <v>0</v>
      </c>
      <c r="AI28" s="35" t="s">
        <v>4</v>
      </c>
      <c r="AJ28" s="51">
        <f>IF(AN28=0,H28,0)</f>
        <v>0</v>
      </c>
      <c r="AK28" s="51">
        <f>IF(AN28=12,H28,0)</f>
        <v>0</v>
      </c>
      <c r="AL28" s="51">
        <f>IF(AN28=21,H28,0)</f>
        <v>0</v>
      </c>
      <c r="AN28" s="51">
        <v>12</v>
      </c>
      <c r="AO28" s="51">
        <f>G28*0.144085112</f>
        <v>0</v>
      </c>
      <c r="AP28" s="51">
        <f>G28*(1-0.144085112)</f>
        <v>0</v>
      </c>
      <c r="AQ28" s="53" t="s">
        <v>111</v>
      </c>
      <c r="AV28" s="51">
        <f>ROUND(AW28+AX28,2)</f>
        <v>0</v>
      </c>
      <c r="AW28" s="51">
        <f>ROUND(F28*AO28,2)</f>
        <v>0</v>
      </c>
      <c r="AX28" s="51">
        <f>ROUND(F28*AP28,2)</f>
        <v>0</v>
      </c>
      <c r="AY28" s="53" t="s">
        <v>151</v>
      </c>
      <c r="AZ28" s="53" t="s">
        <v>152</v>
      </c>
      <c r="BA28" s="35" t="s">
        <v>117</v>
      </c>
      <c r="BC28" s="51">
        <f>AW28+AX28</f>
        <v>0</v>
      </c>
      <c r="BD28" s="51">
        <f>G28/(100-BE28)*100</f>
        <v>0</v>
      </c>
      <c r="BE28" s="51">
        <v>0</v>
      </c>
      <c r="BF28" s="51">
        <f>28</f>
        <v>28</v>
      </c>
      <c r="BH28" s="51">
        <f>F28*AO28</f>
        <v>0</v>
      </c>
      <c r="BI28" s="51">
        <f>F28*AP28</f>
        <v>0</v>
      </c>
      <c r="BJ28" s="51">
        <f>F28*G28</f>
        <v>0</v>
      </c>
      <c r="BK28" s="53" t="s">
        <v>118</v>
      </c>
      <c r="BL28" s="51">
        <v>61</v>
      </c>
      <c r="BW28" s="51">
        <v>12</v>
      </c>
      <c r="BX28" s="3" t="s">
        <v>150</v>
      </c>
    </row>
    <row r="29" spans="1:76">
      <c r="A29" s="54"/>
      <c r="C29" s="56" t="s">
        <v>153</v>
      </c>
      <c r="D29" s="57" t="s">
        <v>4</v>
      </c>
      <c r="F29" s="58">
        <v>38.83</v>
      </c>
      <c r="J29" s="41"/>
    </row>
    <row r="30" spans="1:76">
      <c r="A30" s="1" t="s">
        <v>154</v>
      </c>
      <c r="B30" s="2" t="s">
        <v>155</v>
      </c>
      <c r="C30" s="75" t="s">
        <v>156</v>
      </c>
      <c r="D30" s="70"/>
      <c r="E30" s="2" t="s">
        <v>140</v>
      </c>
      <c r="F30" s="51">
        <v>17.25</v>
      </c>
      <c r="G30" s="52">
        <v>0</v>
      </c>
      <c r="H30" s="51">
        <f>ROUND(F30*G30,2)</f>
        <v>0</v>
      </c>
      <c r="J30" s="41"/>
      <c r="Z30" s="51">
        <f>ROUND(IF(AQ30="5",BJ30,0),2)</f>
        <v>0</v>
      </c>
      <c r="AB30" s="51">
        <f>ROUND(IF(AQ30="1",BH30,0),2)</f>
        <v>0</v>
      </c>
      <c r="AC30" s="51">
        <f>ROUND(IF(AQ30="1",BI30,0),2)</f>
        <v>0</v>
      </c>
      <c r="AD30" s="51">
        <f>ROUND(IF(AQ30="7",BH30,0),2)</f>
        <v>0</v>
      </c>
      <c r="AE30" s="51">
        <f>ROUND(IF(AQ30="7",BI30,0),2)</f>
        <v>0</v>
      </c>
      <c r="AF30" s="51">
        <f>ROUND(IF(AQ30="2",BH30,0),2)</f>
        <v>0</v>
      </c>
      <c r="AG30" s="51">
        <f>ROUND(IF(AQ30="2",BI30,0),2)</f>
        <v>0</v>
      </c>
      <c r="AH30" s="51">
        <f>ROUND(IF(AQ30="0",BJ30,0),2)</f>
        <v>0</v>
      </c>
      <c r="AI30" s="35" t="s">
        <v>4</v>
      </c>
      <c r="AJ30" s="51">
        <f>IF(AN30=0,H30,0)</f>
        <v>0</v>
      </c>
      <c r="AK30" s="51">
        <f>IF(AN30=12,H30,0)</f>
        <v>0</v>
      </c>
      <c r="AL30" s="51">
        <f>IF(AN30=21,H30,0)</f>
        <v>0</v>
      </c>
      <c r="AN30" s="51">
        <v>12</v>
      </c>
      <c r="AO30" s="51">
        <f>G30*0.126027629</f>
        <v>0</v>
      </c>
      <c r="AP30" s="51">
        <f>G30*(1-0.126027629)</f>
        <v>0</v>
      </c>
      <c r="AQ30" s="53" t="s">
        <v>111</v>
      </c>
      <c r="AV30" s="51">
        <f>ROUND(AW30+AX30,2)</f>
        <v>0</v>
      </c>
      <c r="AW30" s="51">
        <f>ROUND(F30*AO30,2)</f>
        <v>0</v>
      </c>
      <c r="AX30" s="51">
        <f>ROUND(F30*AP30,2)</f>
        <v>0</v>
      </c>
      <c r="AY30" s="53" t="s">
        <v>151</v>
      </c>
      <c r="AZ30" s="53" t="s">
        <v>152</v>
      </c>
      <c r="BA30" s="35" t="s">
        <v>117</v>
      </c>
      <c r="BC30" s="51">
        <f>AW30+AX30</f>
        <v>0</v>
      </c>
      <c r="BD30" s="51">
        <f>G30/(100-BE30)*100</f>
        <v>0</v>
      </c>
      <c r="BE30" s="51">
        <v>0</v>
      </c>
      <c r="BF30" s="51">
        <f>30</f>
        <v>30</v>
      </c>
      <c r="BH30" s="51">
        <f>F30*AO30</f>
        <v>0</v>
      </c>
      <c r="BI30" s="51">
        <f>F30*AP30</f>
        <v>0</v>
      </c>
      <c r="BJ30" s="51">
        <f>F30*G30</f>
        <v>0</v>
      </c>
      <c r="BK30" s="53" t="s">
        <v>118</v>
      </c>
      <c r="BL30" s="51">
        <v>61</v>
      </c>
      <c r="BW30" s="51">
        <v>12</v>
      </c>
      <c r="BX30" s="3" t="s">
        <v>156</v>
      </c>
    </row>
    <row r="31" spans="1:76">
      <c r="A31" s="54"/>
      <c r="C31" s="56" t="s">
        <v>157</v>
      </c>
      <c r="D31" s="57" t="s">
        <v>4</v>
      </c>
      <c r="F31" s="58">
        <v>17.25</v>
      </c>
      <c r="J31" s="41"/>
    </row>
    <row r="32" spans="1:76">
      <c r="A32" s="1" t="s">
        <v>158</v>
      </c>
      <c r="B32" s="2" t="s">
        <v>159</v>
      </c>
      <c r="C32" s="75" t="s">
        <v>160</v>
      </c>
      <c r="D32" s="70"/>
      <c r="E32" s="2" t="s">
        <v>124</v>
      </c>
      <c r="F32" s="51">
        <v>38.83</v>
      </c>
      <c r="G32" s="52">
        <v>0</v>
      </c>
      <c r="H32" s="51">
        <f>ROUND(F32*G32,2)</f>
        <v>0</v>
      </c>
      <c r="J32" s="41"/>
      <c r="Z32" s="51">
        <f>ROUND(IF(AQ32="5",BJ32,0),2)</f>
        <v>0</v>
      </c>
      <c r="AB32" s="51">
        <f>ROUND(IF(AQ32="1",BH32,0),2)</f>
        <v>0</v>
      </c>
      <c r="AC32" s="51">
        <f>ROUND(IF(AQ32="1",BI32,0),2)</f>
        <v>0</v>
      </c>
      <c r="AD32" s="51">
        <f>ROUND(IF(AQ32="7",BH32,0),2)</f>
        <v>0</v>
      </c>
      <c r="AE32" s="51">
        <f>ROUND(IF(AQ32="7",BI32,0),2)</f>
        <v>0</v>
      </c>
      <c r="AF32" s="51">
        <f>ROUND(IF(AQ32="2",BH32,0),2)</f>
        <v>0</v>
      </c>
      <c r="AG32" s="51">
        <f>ROUND(IF(AQ32="2",BI32,0),2)</f>
        <v>0</v>
      </c>
      <c r="AH32" s="51">
        <f>ROUND(IF(AQ32="0",BJ32,0),2)</f>
        <v>0</v>
      </c>
      <c r="AI32" s="35" t="s">
        <v>4</v>
      </c>
      <c r="AJ32" s="51">
        <f>IF(AN32=0,H32,0)</f>
        <v>0</v>
      </c>
      <c r="AK32" s="51">
        <f>IF(AN32=12,H32,0)</f>
        <v>0</v>
      </c>
      <c r="AL32" s="51">
        <f>IF(AN32=21,H32,0)</f>
        <v>0</v>
      </c>
      <c r="AN32" s="51">
        <v>12</v>
      </c>
      <c r="AO32" s="51">
        <f>G32*0.315288274</f>
        <v>0</v>
      </c>
      <c r="AP32" s="51">
        <f>G32*(1-0.315288274)</f>
        <v>0</v>
      </c>
      <c r="AQ32" s="53" t="s">
        <v>111</v>
      </c>
      <c r="AV32" s="51">
        <f>ROUND(AW32+AX32,2)</f>
        <v>0</v>
      </c>
      <c r="AW32" s="51">
        <f>ROUND(F32*AO32,2)</f>
        <v>0</v>
      </c>
      <c r="AX32" s="51">
        <f>ROUND(F32*AP32,2)</f>
        <v>0</v>
      </c>
      <c r="AY32" s="53" t="s">
        <v>151</v>
      </c>
      <c r="AZ32" s="53" t="s">
        <v>152</v>
      </c>
      <c r="BA32" s="35" t="s">
        <v>117</v>
      </c>
      <c r="BC32" s="51">
        <f>AW32+AX32</f>
        <v>0</v>
      </c>
      <c r="BD32" s="51">
        <f>G32/(100-BE32)*100</f>
        <v>0</v>
      </c>
      <c r="BE32" s="51">
        <v>0</v>
      </c>
      <c r="BF32" s="51">
        <f>32</f>
        <v>32</v>
      </c>
      <c r="BH32" s="51">
        <f>F32*AO32</f>
        <v>0</v>
      </c>
      <c r="BI32" s="51">
        <f>F32*AP32</f>
        <v>0</v>
      </c>
      <c r="BJ32" s="51">
        <f>F32*G32</f>
        <v>0</v>
      </c>
      <c r="BK32" s="53" t="s">
        <v>118</v>
      </c>
      <c r="BL32" s="51">
        <v>61</v>
      </c>
      <c r="BW32" s="51">
        <v>12</v>
      </c>
      <c r="BX32" s="3" t="s">
        <v>160</v>
      </c>
    </row>
    <row r="33" spans="1:76">
      <c r="A33" s="1" t="s">
        <v>161</v>
      </c>
      <c r="B33" s="2" t="s">
        <v>162</v>
      </c>
      <c r="C33" s="75" t="s">
        <v>163</v>
      </c>
      <c r="D33" s="70"/>
      <c r="E33" s="2" t="s">
        <v>124</v>
      </c>
      <c r="F33" s="51">
        <v>38.83</v>
      </c>
      <c r="G33" s="52">
        <v>0</v>
      </c>
      <c r="H33" s="51">
        <f>ROUND(F33*G33,2)</f>
        <v>0</v>
      </c>
      <c r="J33" s="41"/>
      <c r="Z33" s="51">
        <f>ROUND(IF(AQ33="5",BJ33,0),2)</f>
        <v>0</v>
      </c>
      <c r="AB33" s="51">
        <f>ROUND(IF(AQ33="1",BH33,0),2)</f>
        <v>0</v>
      </c>
      <c r="AC33" s="51">
        <f>ROUND(IF(AQ33="1",BI33,0),2)</f>
        <v>0</v>
      </c>
      <c r="AD33" s="51">
        <f>ROUND(IF(AQ33="7",BH33,0),2)</f>
        <v>0</v>
      </c>
      <c r="AE33" s="51">
        <f>ROUND(IF(AQ33="7",BI33,0),2)</f>
        <v>0</v>
      </c>
      <c r="AF33" s="51">
        <f>ROUND(IF(AQ33="2",BH33,0),2)</f>
        <v>0</v>
      </c>
      <c r="AG33" s="51">
        <f>ROUND(IF(AQ33="2",BI33,0),2)</f>
        <v>0</v>
      </c>
      <c r="AH33" s="51">
        <f>ROUND(IF(AQ33="0",BJ33,0),2)</f>
        <v>0</v>
      </c>
      <c r="AI33" s="35" t="s">
        <v>4</v>
      </c>
      <c r="AJ33" s="51">
        <f>IF(AN33=0,H33,0)</f>
        <v>0</v>
      </c>
      <c r="AK33" s="51">
        <f>IF(AN33=12,H33,0)</f>
        <v>0</v>
      </c>
      <c r="AL33" s="51">
        <f>IF(AN33=21,H33,0)</f>
        <v>0</v>
      </c>
      <c r="AN33" s="51">
        <v>12</v>
      </c>
      <c r="AO33" s="51">
        <f>G33*0.151900286</f>
        <v>0</v>
      </c>
      <c r="AP33" s="51">
        <f>G33*(1-0.151900286)</f>
        <v>0</v>
      </c>
      <c r="AQ33" s="53" t="s">
        <v>111</v>
      </c>
      <c r="AV33" s="51">
        <f>ROUND(AW33+AX33,2)</f>
        <v>0</v>
      </c>
      <c r="AW33" s="51">
        <f>ROUND(F33*AO33,2)</f>
        <v>0</v>
      </c>
      <c r="AX33" s="51">
        <f>ROUND(F33*AP33,2)</f>
        <v>0</v>
      </c>
      <c r="AY33" s="53" t="s">
        <v>151</v>
      </c>
      <c r="AZ33" s="53" t="s">
        <v>152</v>
      </c>
      <c r="BA33" s="35" t="s">
        <v>117</v>
      </c>
      <c r="BC33" s="51">
        <f>AW33+AX33</f>
        <v>0</v>
      </c>
      <c r="BD33" s="51">
        <f>G33/(100-BE33)*100</f>
        <v>0</v>
      </c>
      <c r="BE33" s="51">
        <v>0</v>
      </c>
      <c r="BF33" s="51">
        <f>33</f>
        <v>33</v>
      </c>
      <c r="BH33" s="51">
        <f>F33*AO33</f>
        <v>0</v>
      </c>
      <c r="BI33" s="51">
        <f>F33*AP33</f>
        <v>0</v>
      </c>
      <c r="BJ33" s="51">
        <f>F33*G33</f>
        <v>0</v>
      </c>
      <c r="BK33" s="53" t="s">
        <v>118</v>
      </c>
      <c r="BL33" s="51">
        <v>61</v>
      </c>
      <c r="BW33" s="51">
        <v>12</v>
      </c>
      <c r="BX33" s="3" t="s">
        <v>163</v>
      </c>
    </row>
    <row r="34" spans="1:76">
      <c r="A34" s="1" t="s">
        <v>164</v>
      </c>
      <c r="B34" s="2" t="s">
        <v>165</v>
      </c>
      <c r="C34" s="75" t="s">
        <v>166</v>
      </c>
      <c r="D34" s="70"/>
      <c r="E34" s="2" t="s">
        <v>124</v>
      </c>
      <c r="F34" s="51">
        <v>121.29600000000001</v>
      </c>
      <c r="G34" s="52">
        <v>0</v>
      </c>
      <c r="H34" s="51">
        <f>ROUND(F34*G34,2)</f>
        <v>0</v>
      </c>
      <c r="J34" s="41"/>
      <c r="Z34" s="51">
        <f>ROUND(IF(AQ34="5",BJ34,0),2)</f>
        <v>0</v>
      </c>
      <c r="AB34" s="51">
        <f>ROUND(IF(AQ34="1",BH34,0),2)</f>
        <v>0</v>
      </c>
      <c r="AC34" s="51">
        <f>ROUND(IF(AQ34="1",BI34,0),2)</f>
        <v>0</v>
      </c>
      <c r="AD34" s="51">
        <f>ROUND(IF(AQ34="7",BH34,0),2)</f>
        <v>0</v>
      </c>
      <c r="AE34" s="51">
        <f>ROUND(IF(AQ34="7",BI34,0),2)</f>
        <v>0</v>
      </c>
      <c r="AF34" s="51">
        <f>ROUND(IF(AQ34="2",BH34,0),2)</f>
        <v>0</v>
      </c>
      <c r="AG34" s="51">
        <f>ROUND(IF(AQ34="2",BI34,0),2)</f>
        <v>0</v>
      </c>
      <c r="AH34" s="51">
        <f>ROUND(IF(AQ34="0",BJ34,0),2)</f>
        <v>0</v>
      </c>
      <c r="AI34" s="35" t="s">
        <v>4</v>
      </c>
      <c r="AJ34" s="51">
        <f>IF(AN34=0,H34,0)</f>
        <v>0</v>
      </c>
      <c r="AK34" s="51">
        <f>IF(AN34=12,H34,0)</f>
        <v>0</v>
      </c>
      <c r="AL34" s="51">
        <f>IF(AN34=21,H34,0)</f>
        <v>0</v>
      </c>
      <c r="AN34" s="51">
        <v>12</v>
      </c>
      <c r="AO34" s="51">
        <f>G34*0.369315571</f>
        <v>0</v>
      </c>
      <c r="AP34" s="51">
        <f>G34*(1-0.369315571)</f>
        <v>0</v>
      </c>
      <c r="AQ34" s="53" t="s">
        <v>111</v>
      </c>
      <c r="AV34" s="51">
        <f>ROUND(AW34+AX34,2)</f>
        <v>0</v>
      </c>
      <c r="AW34" s="51">
        <f>ROUND(F34*AO34,2)</f>
        <v>0</v>
      </c>
      <c r="AX34" s="51">
        <f>ROUND(F34*AP34,2)</f>
        <v>0</v>
      </c>
      <c r="AY34" s="53" t="s">
        <v>151</v>
      </c>
      <c r="AZ34" s="53" t="s">
        <v>152</v>
      </c>
      <c r="BA34" s="35" t="s">
        <v>117</v>
      </c>
      <c r="BC34" s="51">
        <f>AW34+AX34</f>
        <v>0</v>
      </c>
      <c r="BD34" s="51">
        <f>G34/(100-BE34)*100</f>
        <v>0</v>
      </c>
      <c r="BE34" s="51">
        <v>0</v>
      </c>
      <c r="BF34" s="51">
        <f>34</f>
        <v>34</v>
      </c>
      <c r="BH34" s="51">
        <f>F34*AO34</f>
        <v>0</v>
      </c>
      <c r="BI34" s="51">
        <f>F34*AP34</f>
        <v>0</v>
      </c>
      <c r="BJ34" s="51">
        <f>F34*G34</f>
        <v>0</v>
      </c>
      <c r="BK34" s="53" t="s">
        <v>118</v>
      </c>
      <c r="BL34" s="51">
        <v>61</v>
      </c>
      <c r="BW34" s="51">
        <v>12</v>
      </c>
      <c r="BX34" s="3" t="s">
        <v>166</v>
      </c>
    </row>
    <row r="35" spans="1:76">
      <c r="A35" s="54"/>
      <c r="C35" s="56" t="s">
        <v>167</v>
      </c>
      <c r="D35" s="57" t="s">
        <v>168</v>
      </c>
      <c r="F35" s="58">
        <v>24.64</v>
      </c>
      <c r="J35" s="41"/>
    </row>
    <row r="36" spans="1:76">
      <c r="A36" s="54"/>
      <c r="C36" s="56" t="s">
        <v>169</v>
      </c>
      <c r="D36" s="57" t="s">
        <v>170</v>
      </c>
      <c r="F36" s="58">
        <v>9</v>
      </c>
      <c r="J36" s="41"/>
    </row>
    <row r="37" spans="1:76">
      <c r="A37" s="54"/>
      <c r="C37" s="56" t="s">
        <v>171</v>
      </c>
      <c r="D37" s="57" t="s">
        <v>172</v>
      </c>
      <c r="F37" s="58">
        <v>15.5</v>
      </c>
      <c r="J37" s="41"/>
    </row>
    <row r="38" spans="1:76">
      <c r="A38" s="54"/>
      <c r="C38" s="56" t="s">
        <v>173</v>
      </c>
      <c r="D38" s="57" t="s">
        <v>174</v>
      </c>
      <c r="F38" s="58">
        <v>26.946000000000002</v>
      </c>
      <c r="J38" s="41"/>
    </row>
    <row r="39" spans="1:76">
      <c r="A39" s="54"/>
      <c r="C39" s="56" t="s">
        <v>175</v>
      </c>
      <c r="D39" s="57" t="s">
        <v>176</v>
      </c>
      <c r="F39" s="58">
        <v>42.026000000000003</v>
      </c>
      <c r="J39" s="41"/>
    </row>
    <row r="40" spans="1:76">
      <c r="A40" s="54"/>
      <c r="C40" s="56" t="s">
        <v>177</v>
      </c>
      <c r="D40" s="57" t="s">
        <v>178</v>
      </c>
      <c r="F40" s="58">
        <v>2.1440000000000001</v>
      </c>
      <c r="J40" s="41"/>
    </row>
    <row r="41" spans="1:76">
      <c r="A41" s="54"/>
      <c r="C41" s="56" t="s">
        <v>179</v>
      </c>
      <c r="D41" s="57" t="s">
        <v>4</v>
      </c>
      <c r="F41" s="58">
        <v>1.04</v>
      </c>
      <c r="J41" s="41"/>
    </row>
    <row r="42" spans="1:76">
      <c r="A42" s="1" t="s">
        <v>180</v>
      </c>
      <c r="B42" s="2" t="s">
        <v>181</v>
      </c>
      <c r="C42" s="75" t="s">
        <v>182</v>
      </c>
      <c r="D42" s="70"/>
      <c r="E42" s="2" t="s">
        <v>124</v>
      </c>
      <c r="F42" s="51">
        <v>5</v>
      </c>
      <c r="G42" s="52">
        <v>0</v>
      </c>
      <c r="H42" s="51">
        <f>ROUND(F42*G42,2)</f>
        <v>0</v>
      </c>
      <c r="J42" s="41"/>
      <c r="Z42" s="51">
        <f>ROUND(IF(AQ42="5",BJ42,0),2)</f>
        <v>0</v>
      </c>
      <c r="AB42" s="51">
        <f>ROUND(IF(AQ42="1",BH42,0),2)</f>
        <v>0</v>
      </c>
      <c r="AC42" s="51">
        <f>ROUND(IF(AQ42="1",BI42,0),2)</f>
        <v>0</v>
      </c>
      <c r="AD42" s="51">
        <f>ROUND(IF(AQ42="7",BH42,0),2)</f>
        <v>0</v>
      </c>
      <c r="AE42" s="51">
        <f>ROUND(IF(AQ42="7",BI42,0),2)</f>
        <v>0</v>
      </c>
      <c r="AF42" s="51">
        <f>ROUND(IF(AQ42="2",BH42,0),2)</f>
        <v>0</v>
      </c>
      <c r="AG42" s="51">
        <f>ROUND(IF(AQ42="2",BI42,0),2)</f>
        <v>0</v>
      </c>
      <c r="AH42" s="51">
        <f>ROUND(IF(AQ42="0",BJ42,0),2)</f>
        <v>0</v>
      </c>
      <c r="AI42" s="35" t="s">
        <v>4</v>
      </c>
      <c r="AJ42" s="51">
        <f>IF(AN42=0,H42,0)</f>
        <v>0</v>
      </c>
      <c r="AK42" s="51">
        <f>IF(AN42=12,H42,0)</f>
        <v>0</v>
      </c>
      <c r="AL42" s="51">
        <f>IF(AN42=21,H42,0)</f>
        <v>0</v>
      </c>
      <c r="AN42" s="51">
        <v>12</v>
      </c>
      <c r="AO42" s="51">
        <f>G42*0.223146474</f>
        <v>0</v>
      </c>
      <c r="AP42" s="51">
        <f>G42*(1-0.223146474)</f>
        <v>0</v>
      </c>
      <c r="AQ42" s="53" t="s">
        <v>111</v>
      </c>
      <c r="AV42" s="51">
        <f>ROUND(AW42+AX42,2)</f>
        <v>0</v>
      </c>
      <c r="AW42" s="51">
        <f>ROUND(F42*AO42,2)</f>
        <v>0</v>
      </c>
      <c r="AX42" s="51">
        <f>ROUND(F42*AP42,2)</f>
        <v>0</v>
      </c>
      <c r="AY42" s="53" t="s">
        <v>151</v>
      </c>
      <c r="AZ42" s="53" t="s">
        <v>152</v>
      </c>
      <c r="BA42" s="35" t="s">
        <v>117</v>
      </c>
      <c r="BC42" s="51">
        <f>AW42+AX42</f>
        <v>0</v>
      </c>
      <c r="BD42" s="51">
        <f>G42/(100-BE42)*100</f>
        <v>0</v>
      </c>
      <c r="BE42" s="51">
        <v>0</v>
      </c>
      <c r="BF42" s="51">
        <f>42</f>
        <v>42</v>
      </c>
      <c r="BH42" s="51">
        <f>F42*AO42</f>
        <v>0</v>
      </c>
      <c r="BI42" s="51">
        <f>F42*AP42</f>
        <v>0</v>
      </c>
      <c r="BJ42" s="51">
        <f>F42*G42</f>
        <v>0</v>
      </c>
      <c r="BK42" s="53" t="s">
        <v>118</v>
      </c>
      <c r="BL42" s="51">
        <v>61</v>
      </c>
      <c r="BW42" s="51">
        <v>12</v>
      </c>
      <c r="BX42" s="3" t="s">
        <v>182</v>
      </c>
    </row>
    <row r="43" spans="1:76">
      <c r="A43" s="54"/>
      <c r="C43" s="56" t="s">
        <v>183</v>
      </c>
      <c r="D43" s="57" t="s">
        <v>184</v>
      </c>
      <c r="F43" s="58">
        <v>5</v>
      </c>
      <c r="J43" s="41"/>
    </row>
    <row r="44" spans="1:76">
      <c r="A44" s="1" t="s">
        <v>185</v>
      </c>
      <c r="B44" s="2" t="s">
        <v>186</v>
      </c>
      <c r="C44" s="75" t="s">
        <v>187</v>
      </c>
      <c r="D44" s="70"/>
      <c r="E44" s="2" t="s">
        <v>124</v>
      </c>
      <c r="F44" s="51">
        <v>99.495999999999995</v>
      </c>
      <c r="G44" s="52">
        <v>0</v>
      </c>
      <c r="H44" s="51">
        <f>ROUND(F44*G44,2)</f>
        <v>0</v>
      </c>
      <c r="J44" s="41"/>
      <c r="Z44" s="51">
        <f>ROUND(IF(AQ44="5",BJ44,0),2)</f>
        <v>0</v>
      </c>
      <c r="AB44" s="51">
        <f>ROUND(IF(AQ44="1",BH44,0),2)</f>
        <v>0</v>
      </c>
      <c r="AC44" s="51">
        <f>ROUND(IF(AQ44="1",BI44,0),2)</f>
        <v>0</v>
      </c>
      <c r="AD44" s="51">
        <f>ROUND(IF(AQ44="7",BH44,0),2)</f>
        <v>0</v>
      </c>
      <c r="AE44" s="51">
        <f>ROUND(IF(AQ44="7",BI44,0),2)</f>
        <v>0</v>
      </c>
      <c r="AF44" s="51">
        <f>ROUND(IF(AQ44="2",BH44,0),2)</f>
        <v>0</v>
      </c>
      <c r="AG44" s="51">
        <f>ROUND(IF(AQ44="2",BI44,0),2)</f>
        <v>0</v>
      </c>
      <c r="AH44" s="51">
        <f>ROUND(IF(AQ44="0",BJ44,0),2)</f>
        <v>0</v>
      </c>
      <c r="AI44" s="35" t="s">
        <v>4</v>
      </c>
      <c r="AJ44" s="51">
        <f>IF(AN44=0,H44,0)</f>
        <v>0</v>
      </c>
      <c r="AK44" s="51">
        <f>IF(AN44=12,H44,0)</f>
        <v>0</v>
      </c>
      <c r="AL44" s="51">
        <f>IF(AN44=21,H44,0)</f>
        <v>0</v>
      </c>
      <c r="AN44" s="51">
        <v>12</v>
      </c>
      <c r="AO44" s="51">
        <f>G44*0.177162812</f>
        <v>0</v>
      </c>
      <c r="AP44" s="51">
        <f>G44*(1-0.177162812)</f>
        <v>0</v>
      </c>
      <c r="AQ44" s="53" t="s">
        <v>111</v>
      </c>
      <c r="AV44" s="51">
        <f>ROUND(AW44+AX44,2)</f>
        <v>0</v>
      </c>
      <c r="AW44" s="51">
        <f>ROUND(F44*AO44,2)</f>
        <v>0</v>
      </c>
      <c r="AX44" s="51">
        <f>ROUND(F44*AP44,2)</f>
        <v>0</v>
      </c>
      <c r="AY44" s="53" t="s">
        <v>151</v>
      </c>
      <c r="AZ44" s="53" t="s">
        <v>152</v>
      </c>
      <c r="BA44" s="35" t="s">
        <v>117</v>
      </c>
      <c r="BC44" s="51">
        <f>AW44+AX44</f>
        <v>0</v>
      </c>
      <c r="BD44" s="51">
        <f>G44/(100-BE44)*100</f>
        <v>0</v>
      </c>
      <c r="BE44" s="51">
        <v>0</v>
      </c>
      <c r="BF44" s="51">
        <f>44</f>
        <v>44</v>
      </c>
      <c r="BH44" s="51">
        <f>F44*AO44</f>
        <v>0</v>
      </c>
      <c r="BI44" s="51">
        <f>F44*AP44</f>
        <v>0</v>
      </c>
      <c r="BJ44" s="51">
        <f>F44*G44</f>
        <v>0</v>
      </c>
      <c r="BK44" s="53" t="s">
        <v>118</v>
      </c>
      <c r="BL44" s="51">
        <v>61</v>
      </c>
      <c r="BW44" s="51">
        <v>12</v>
      </c>
      <c r="BX44" s="3" t="s">
        <v>187</v>
      </c>
    </row>
    <row r="45" spans="1:76">
      <c r="A45" s="54"/>
      <c r="C45" s="56" t="s">
        <v>188</v>
      </c>
      <c r="D45" s="57" t="s">
        <v>4</v>
      </c>
      <c r="F45" s="58">
        <v>99.495999999999995</v>
      </c>
      <c r="J45" s="41"/>
    </row>
    <row r="46" spans="1:76">
      <c r="A46" s="1" t="s">
        <v>189</v>
      </c>
      <c r="B46" s="2" t="s">
        <v>190</v>
      </c>
      <c r="C46" s="75" t="s">
        <v>191</v>
      </c>
      <c r="D46" s="70"/>
      <c r="E46" s="2" t="s">
        <v>124</v>
      </c>
      <c r="F46" s="51">
        <v>103.246</v>
      </c>
      <c r="G46" s="52">
        <v>0</v>
      </c>
      <c r="H46" s="51">
        <f>ROUND(F46*G46,2)</f>
        <v>0</v>
      </c>
      <c r="J46" s="41"/>
      <c r="Z46" s="51">
        <f>ROUND(IF(AQ46="5",BJ46,0),2)</f>
        <v>0</v>
      </c>
      <c r="AB46" s="51">
        <f>ROUND(IF(AQ46="1",BH46,0),2)</f>
        <v>0</v>
      </c>
      <c r="AC46" s="51">
        <f>ROUND(IF(AQ46="1",BI46,0),2)</f>
        <v>0</v>
      </c>
      <c r="AD46" s="51">
        <f>ROUND(IF(AQ46="7",BH46,0),2)</f>
        <v>0</v>
      </c>
      <c r="AE46" s="51">
        <f>ROUND(IF(AQ46="7",BI46,0),2)</f>
        <v>0</v>
      </c>
      <c r="AF46" s="51">
        <f>ROUND(IF(AQ46="2",BH46,0),2)</f>
        <v>0</v>
      </c>
      <c r="AG46" s="51">
        <f>ROUND(IF(AQ46="2",BI46,0),2)</f>
        <v>0</v>
      </c>
      <c r="AH46" s="51">
        <f>ROUND(IF(AQ46="0",BJ46,0),2)</f>
        <v>0</v>
      </c>
      <c r="AI46" s="35" t="s">
        <v>4</v>
      </c>
      <c r="AJ46" s="51">
        <f>IF(AN46=0,H46,0)</f>
        <v>0</v>
      </c>
      <c r="AK46" s="51">
        <f>IF(AN46=12,H46,0)</f>
        <v>0</v>
      </c>
      <c r="AL46" s="51">
        <f>IF(AN46=21,H46,0)</f>
        <v>0</v>
      </c>
      <c r="AN46" s="51">
        <v>12</v>
      </c>
      <c r="AO46" s="51">
        <f>G46*0.384230148</f>
        <v>0</v>
      </c>
      <c r="AP46" s="51">
        <f>G46*(1-0.384230148)</f>
        <v>0</v>
      </c>
      <c r="AQ46" s="53" t="s">
        <v>111</v>
      </c>
      <c r="AV46" s="51">
        <f>ROUND(AW46+AX46,2)</f>
        <v>0</v>
      </c>
      <c r="AW46" s="51">
        <f>ROUND(F46*AO46,2)</f>
        <v>0</v>
      </c>
      <c r="AX46" s="51">
        <f>ROUND(F46*AP46,2)</f>
        <v>0</v>
      </c>
      <c r="AY46" s="53" t="s">
        <v>151</v>
      </c>
      <c r="AZ46" s="53" t="s">
        <v>152</v>
      </c>
      <c r="BA46" s="35" t="s">
        <v>117</v>
      </c>
      <c r="BC46" s="51">
        <f>AW46+AX46</f>
        <v>0</v>
      </c>
      <c r="BD46" s="51">
        <f>G46/(100-BE46)*100</f>
        <v>0</v>
      </c>
      <c r="BE46" s="51">
        <v>0</v>
      </c>
      <c r="BF46" s="51">
        <f>46</f>
        <v>46</v>
      </c>
      <c r="BH46" s="51">
        <f>F46*AO46</f>
        <v>0</v>
      </c>
      <c r="BI46" s="51">
        <f>F46*AP46</f>
        <v>0</v>
      </c>
      <c r="BJ46" s="51">
        <f>F46*G46</f>
        <v>0</v>
      </c>
      <c r="BK46" s="53" t="s">
        <v>118</v>
      </c>
      <c r="BL46" s="51">
        <v>61</v>
      </c>
      <c r="BW46" s="51">
        <v>12</v>
      </c>
      <c r="BX46" s="3" t="s">
        <v>191</v>
      </c>
    </row>
    <row r="47" spans="1:76" ht="13.5" customHeight="1">
      <c r="A47" s="54"/>
      <c r="B47" s="55" t="s">
        <v>119</v>
      </c>
      <c r="C47" s="152" t="s">
        <v>120</v>
      </c>
      <c r="D47" s="153"/>
      <c r="E47" s="153"/>
      <c r="F47" s="153"/>
      <c r="G47" s="154"/>
      <c r="H47" s="153"/>
      <c r="I47" s="153"/>
      <c r="J47" s="155"/>
    </row>
    <row r="48" spans="1:76">
      <c r="A48" s="54"/>
      <c r="C48" s="56" t="s">
        <v>167</v>
      </c>
      <c r="D48" s="57" t="s">
        <v>168</v>
      </c>
      <c r="F48" s="58">
        <v>24.64</v>
      </c>
      <c r="J48" s="41"/>
    </row>
    <row r="49" spans="1:76">
      <c r="A49" s="54"/>
      <c r="C49" s="56" t="s">
        <v>192</v>
      </c>
      <c r="D49" s="57" t="s">
        <v>193</v>
      </c>
      <c r="F49" s="58">
        <v>3.2</v>
      </c>
      <c r="J49" s="41"/>
    </row>
    <row r="50" spans="1:76">
      <c r="A50" s="54"/>
      <c r="C50" s="56" t="s">
        <v>194</v>
      </c>
      <c r="D50" s="57" t="s">
        <v>195</v>
      </c>
      <c r="F50" s="58">
        <v>3.25</v>
      </c>
      <c r="J50" s="41"/>
    </row>
    <row r="51" spans="1:76">
      <c r="A51" s="54"/>
      <c r="C51" s="56" t="s">
        <v>173</v>
      </c>
      <c r="D51" s="57" t="s">
        <v>174</v>
      </c>
      <c r="F51" s="58">
        <v>26.946000000000002</v>
      </c>
      <c r="J51" s="41"/>
    </row>
    <row r="52" spans="1:76">
      <c r="A52" s="54"/>
      <c r="C52" s="56" t="s">
        <v>175</v>
      </c>
      <c r="D52" s="57" t="s">
        <v>176</v>
      </c>
      <c r="F52" s="58">
        <v>42.026000000000003</v>
      </c>
      <c r="J52" s="41"/>
    </row>
    <row r="53" spans="1:76">
      <c r="A53" s="54"/>
      <c r="C53" s="56" t="s">
        <v>177</v>
      </c>
      <c r="D53" s="57" t="s">
        <v>178</v>
      </c>
      <c r="F53" s="58">
        <v>2.1440000000000001</v>
      </c>
      <c r="J53" s="41"/>
    </row>
    <row r="54" spans="1:76">
      <c r="A54" s="54"/>
      <c r="C54" s="56" t="s">
        <v>179</v>
      </c>
      <c r="D54" s="57" t="s">
        <v>4</v>
      </c>
      <c r="F54" s="58">
        <v>1.04</v>
      </c>
      <c r="J54" s="41"/>
    </row>
    <row r="55" spans="1:76">
      <c r="A55" s="1" t="s">
        <v>196</v>
      </c>
      <c r="B55" s="2" t="s">
        <v>197</v>
      </c>
      <c r="C55" s="75" t="s">
        <v>198</v>
      </c>
      <c r="D55" s="70"/>
      <c r="E55" s="2" t="s">
        <v>124</v>
      </c>
      <c r="F55" s="51">
        <v>21.728000000000002</v>
      </c>
      <c r="G55" s="52">
        <v>0</v>
      </c>
      <c r="H55" s="51">
        <f>ROUND(F55*G55,2)</f>
        <v>0</v>
      </c>
      <c r="J55" s="41"/>
      <c r="Z55" s="51">
        <f>ROUND(IF(AQ55="5",BJ55,0),2)</f>
        <v>0</v>
      </c>
      <c r="AB55" s="51">
        <f>ROUND(IF(AQ55="1",BH55,0),2)</f>
        <v>0</v>
      </c>
      <c r="AC55" s="51">
        <f>ROUND(IF(AQ55="1",BI55,0),2)</f>
        <v>0</v>
      </c>
      <c r="AD55" s="51">
        <f>ROUND(IF(AQ55="7",BH55,0),2)</f>
        <v>0</v>
      </c>
      <c r="AE55" s="51">
        <f>ROUND(IF(AQ55="7",BI55,0),2)</f>
        <v>0</v>
      </c>
      <c r="AF55" s="51">
        <f>ROUND(IF(AQ55="2",BH55,0),2)</f>
        <v>0</v>
      </c>
      <c r="AG55" s="51">
        <f>ROUND(IF(AQ55="2",BI55,0),2)</f>
        <v>0</v>
      </c>
      <c r="AH55" s="51">
        <f>ROUND(IF(AQ55="0",BJ55,0),2)</f>
        <v>0</v>
      </c>
      <c r="AI55" s="35" t="s">
        <v>4</v>
      </c>
      <c r="AJ55" s="51">
        <f>IF(AN55=0,H55,0)</f>
        <v>0</v>
      </c>
      <c r="AK55" s="51">
        <f>IF(AN55=12,H55,0)</f>
        <v>0</v>
      </c>
      <c r="AL55" s="51">
        <f>IF(AN55=21,H55,0)</f>
        <v>0</v>
      </c>
      <c r="AN55" s="51">
        <v>12</v>
      </c>
      <c r="AO55" s="51">
        <f>G55*0.118851515</f>
        <v>0</v>
      </c>
      <c r="AP55" s="51">
        <f>G55*(1-0.118851515)</f>
        <v>0</v>
      </c>
      <c r="AQ55" s="53" t="s">
        <v>111</v>
      </c>
      <c r="AV55" s="51">
        <f>ROUND(AW55+AX55,2)</f>
        <v>0</v>
      </c>
      <c r="AW55" s="51">
        <f>ROUND(F55*AO55,2)</f>
        <v>0</v>
      </c>
      <c r="AX55" s="51">
        <f>ROUND(F55*AP55,2)</f>
        <v>0</v>
      </c>
      <c r="AY55" s="53" t="s">
        <v>151</v>
      </c>
      <c r="AZ55" s="53" t="s">
        <v>152</v>
      </c>
      <c r="BA55" s="35" t="s">
        <v>117</v>
      </c>
      <c r="BC55" s="51">
        <f>AW55+AX55</f>
        <v>0</v>
      </c>
      <c r="BD55" s="51">
        <f>G55/(100-BE55)*100</f>
        <v>0</v>
      </c>
      <c r="BE55" s="51">
        <v>0</v>
      </c>
      <c r="BF55" s="51">
        <f>55</f>
        <v>55</v>
      </c>
      <c r="BH55" s="51">
        <f>F55*AO55</f>
        <v>0</v>
      </c>
      <c r="BI55" s="51">
        <f>F55*AP55</f>
        <v>0</v>
      </c>
      <c r="BJ55" s="51">
        <f>F55*G55</f>
        <v>0</v>
      </c>
      <c r="BK55" s="53" t="s">
        <v>118</v>
      </c>
      <c r="BL55" s="51">
        <v>61</v>
      </c>
      <c r="BW55" s="51">
        <v>12</v>
      </c>
      <c r="BX55" s="3" t="s">
        <v>198</v>
      </c>
    </row>
    <row r="56" spans="1:76">
      <c r="A56" s="54"/>
      <c r="C56" s="56" t="s">
        <v>199</v>
      </c>
      <c r="D56" s="57" t="s">
        <v>200</v>
      </c>
      <c r="F56" s="58">
        <v>21.728000000000002</v>
      </c>
      <c r="J56" s="41"/>
    </row>
    <row r="57" spans="1:76">
      <c r="A57" s="1" t="s">
        <v>201</v>
      </c>
      <c r="B57" s="2" t="s">
        <v>202</v>
      </c>
      <c r="C57" s="75" t="s">
        <v>203</v>
      </c>
      <c r="D57" s="70"/>
      <c r="E57" s="2" t="s">
        <v>124</v>
      </c>
      <c r="F57" s="51">
        <v>10.303000000000001</v>
      </c>
      <c r="G57" s="52">
        <v>0</v>
      </c>
      <c r="H57" s="51">
        <f>ROUND(F57*G57,2)</f>
        <v>0</v>
      </c>
      <c r="J57" s="41"/>
      <c r="Z57" s="51">
        <f>ROUND(IF(AQ57="5",BJ57,0),2)</f>
        <v>0</v>
      </c>
      <c r="AB57" s="51">
        <f>ROUND(IF(AQ57="1",BH57,0),2)</f>
        <v>0</v>
      </c>
      <c r="AC57" s="51">
        <f>ROUND(IF(AQ57="1",BI57,0),2)</f>
        <v>0</v>
      </c>
      <c r="AD57" s="51">
        <f>ROUND(IF(AQ57="7",BH57,0),2)</f>
        <v>0</v>
      </c>
      <c r="AE57" s="51">
        <f>ROUND(IF(AQ57="7",BI57,0),2)</f>
        <v>0</v>
      </c>
      <c r="AF57" s="51">
        <f>ROUND(IF(AQ57="2",BH57,0),2)</f>
        <v>0</v>
      </c>
      <c r="AG57" s="51">
        <f>ROUND(IF(AQ57="2",BI57,0),2)</f>
        <v>0</v>
      </c>
      <c r="AH57" s="51">
        <f>ROUND(IF(AQ57="0",BJ57,0),2)</f>
        <v>0</v>
      </c>
      <c r="AI57" s="35" t="s">
        <v>4</v>
      </c>
      <c r="AJ57" s="51">
        <f>IF(AN57=0,H57,0)</f>
        <v>0</v>
      </c>
      <c r="AK57" s="51">
        <f>IF(AN57=12,H57,0)</f>
        <v>0</v>
      </c>
      <c r="AL57" s="51">
        <f>IF(AN57=21,H57,0)</f>
        <v>0</v>
      </c>
      <c r="AN57" s="51">
        <v>12</v>
      </c>
      <c r="AO57" s="51">
        <f>G57*0.267960001</f>
        <v>0</v>
      </c>
      <c r="AP57" s="51">
        <f>G57*(1-0.267960001)</f>
        <v>0</v>
      </c>
      <c r="AQ57" s="53" t="s">
        <v>111</v>
      </c>
      <c r="AV57" s="51">
        <f>ROUND(AW57+AX57,2)</f>
        <v>0</v>
      </c>
      <c r="AW57" s="51">
        <f>ROUND(F57*AO57,2)</f>
        <v>0</v>
      </c>
      <c r="AX57" s="51">
        <f>ROUND(F57*AP57,2)</f>
        <v>0</v>
      </c>
      <c r="AY57" s="53" t="s">
        <v>151</v>
      </c>
      <c r="AZ57" s="53" t="s">
        <v>152</v>
      </c>
      <c r="BA57" s="35" t="s">
        <v>117</v>
      </c>
      <c r="BC57" s="51">
        <f>AW57+AX57</f>
        <v>0</v>
      </c>
      <c r="BD57" s="51">
        <f>G57/(100-BE57)*100</f>
        <v>0</v>
      </c>
      <c r="BE57" s="51">
        <v>0</v>
      </c>
      <c r="BF57" s="51">
        <f>57</f>
        <v>57</v>
      </c>
      <c r="BH57" s="51">
        <f>F57*AO57</f>
        <v>0</v>
      </c>
      <c r="BI57" s="51">
        <f>F57*AP57</f>
        <v>0</v>
      </c>
      <c r="BJ57" s="51">
        <f>F57*G57</f>
        <v>0</v>
      </c>
      <c r="BK57" s="53" t="s">
        <v>118</v>
      </c>
      <c r="BL57" s="51">
        <v>61</v>
      </c>
      <c r="BW57" s="51">
        <v>12</v>
      </c>
      <c r="BX57" s="3" t="s">
        <v>203</v>
      </c>
    </row>
    <row r="58" spans="1:76">
      <c r="A58" s="54"/>
      <c r="C58" s="56" t="s">
        <v>204</v>
      </c>
      <c r="D58" s="57" t="s">
        <v>205</v>
      </c>
      <c r="F58" s="58">
        <v>10.303000000000001</v>
      </c>
      <c r="J58" s="41"/>
    </row>
    <row r="59" spans="1:76">
      <c r="A59" s="1" t="s">
        <v>206</v>
      </c>
      <c r="B59" s="2" t="s">
        <v>207</v>
      </c>
      <c r="C59" s="75" t="s">
        <v>208</v>
      </c>
      <c r="D59" s="70"/>
      <c r="E59" s="2" t="s">
        <v>124</v>
      </c>
      <c r="F59" s="51">
        <v>103.246</v>
      </c>
      <c r="G59" s="52">
        <v>0</v>
      </c>
      <c r="H59" s="51">
        <f>ROUND(F59*G59,2)</f>
        <v>0</v>
      </c>
      <c r="J59" s="41"/>
      <c r="Z59" s="51">
        <f>ROUND(IF(AQ59="5",BJ59,0),2)</f>
        <v>0</v>
      </c>
      <c r="AB59" s="51">
        <f>ROUND(IF(AQ59="1",BH59,0),2)</f>
        <v>0</v>
      </c>
      <c r="AC59" s="51">
        <f>ROUND(IF(AQ59="1",BI59,0),2)</f>
        <v>0</v>
      </c>
      <c r="AD59" s="51">
        <f>ROUND(IF(AQ59="7",BH59,0),2)</f>
        <v>0</v>
      </c>
      <c r="AE59" s="51">
        <f>ROUND(IF(AQ59="7",BI59,0),2)</f>
        <v>0</v>
      </c>
      <c r="AF59" s="51">
        <f>ROUND(IF(AQ59="2",BH59,0),2)</f>
        <v>0</v>
      </c>
      <c r="AG59" s="51">
        <f>ROUND(IF(AQ59="2",BI59,0),2)</f>
        <v>0</v>
      </c>
      <c r="AH59" s="51">
        <f>ROUND(IF(AQ59="0",BJ59,0),2)</f>
        <v>0</v>
      </c>
      <c r="AI59" s="35" t="s">
        <v>4</v>
      </c>
      <c r="AJ59" s="51">
        <f>IF(AN59=0,H59,0)</f>
        <v>0</v>
      </c>
      <c r="AK59" s="51">
        <f>IF(AN59=12,H59,0)</f>
        <v>0</v>
      </c>
      <c r="AL59" s="51">
        <f>IF(AN59=21,H59,0)</f>
        <v>0</v>
      </c>
      <c r="AN59" s="51">
        <v>12</v>
      </c>
      <c r="AO59" s="51">
        <f>G59*0.244230237</f>
        <v>0</v>
      </c>
      <c r="AP59" s="51">
        <f>G59*(1-0.244230237)</f>
        <v>0</v>
      </c>
      <c r="AQ59" s="53" t="s">
        <v>111</v>
      </c>
      <c r="AV59" s="51">
        <f>ROUND(AW59+AX59,2)</f>
        <v>0</v>
      </c>
      <c r="AW59" s="51">
        <f>ROUND(F59*AO59,2)</f>
        <v>0</v>
      </c>
      <c r="AX59" s="51">
        <f>ROUND(F59*AP59,2)</f>
        <v>0</v>
      </c>
      <c r="AY59" s="53" t="s">
        <v>151</v>
      </c>
      <c r="AZ59" s="53" t="s">
        <v>152</v>
      </c>
      <c r="BA59" s="35" t="s">
        <v>117</v>
      </c>
      <c r="BC59" s="51">
        <f>AW59+AX59</f>
        <v>0</v>
      </c>
      <c r="BD59" s="51">
        <f>G59/(100-BE59)*100</f>
        <v>0</v>
      </c>
      <c r="BE59" s="51">
        <v>0</v>
      </c>
      <c r="BF59" s="51">
        <f>59</f>
        <v>59</v>
      </c>
      <c r="BH59" s="51">
        <f>F59*AO59</f>
        <v>0</v>
      </c>
      <c r="BI59" s="51">
        <f>F59*AP59</f>
        <v>0</v>
      </c>
      <c r="BJ59" s="51">
        <f>F59*G59</f>
        <v>0</v>
      </c>
      <c r="BK59" s="53" t="s">
        <v>118</v>
      </c>
      <c r="BL59" s="51">
        <v>61</v>
      </c>
      <c r="BW59" s="51">
        <v>12</v>
      </c>
      <c r="BX59" s="3" t="s">
        <v>208</v>
      </c>
    </row>
    <row r="60" spans="1:76" ht="13.5" customHeight="1">
      <c r="A60" s="54"/>
      <c r="B60" s="55" t="s">
        <v>119</v>
      </c>
      <c r="C60" s="152" t="s">
        <v>209</v>
      </c>
      <c r="D60" s="153"/>
      <c r="E60" s="153"/>
      <c r="F60" s="153"/>
      <c r="G60" s="154"/>
      <c r="H60" s="153"/>
      <c r="I60" s="153"/>
      <c r="J60" s="155"/>
    </row>
    <row r="61" spans="1:76">
      <c r="A61" s="1" t="s">
        <v>210</v>
      </c>
      <c r="B61" s="2" t="s">
        <v>211</v>
      </c>
      <c r="C61" s="75" t="s">
        <v>212</v>
      </c>
      <c r="D61" s="70"/>
      <c r="E61" s="2" t="s">
        <v>114</v>
      </c>
      <c r="F61" s="51">
        <v>1</v>
      </c>
      <c r="G61" s="52">
        <v>0</v>
      </c>
      <c r="H61" s="51">
        <f>ROUND(F61*G61,2)</f>
        <v>0</v>
      </c>
      <c r="J61" s="41"/>
      <c r="Z61" s="51">
        <f>ROUND(IF(AQ61="5",BJ61,0),2)</f>
        <v>0</v>
      </c>
      <c r="AB61" s="51">
        <f>ROUND(IF(AQ61="1",BH61,0),2)</f>
        <v>0</v>
      </c>
      <c r="AC61" s="51">
        <f>ROUND(IF(AQ61="1",BI61,0),2)</f>
        <v>0</v>
      </c>
      <c r="AD61" s="51">
        <f>ROUND(IF(AQ61="7",BH61,0),2)</f>
        <v>0</v>
      </c>
      <c r="AE61" s="51">
        <f>ROUND(IF(AQ61="7",BI61,0),2)</f>
        <v>0</v>
      </c>
      <c r="AF61" s="51">
        <f>ROUND(IF(AQ61="2",BH61,0),2)</f>
        <v>0</v>
      </c>
      <c r="AG61" s="51">
        <f>ROUND(IF(AQ61="2",BI61,0),2)</f>
        <v>0</v>
      </c>
      <c r="AH61" s="51">
        <f>ROUND(IF(AQ61="0",BJ61,0),2)</f>
        <v>0</v>
      </c>
      <c r="AI61" s="35" t="s">
        <v>4</v>
      </c>
      <c r="AJ61" s="51">
        <f>IF(AN61=0,H61,0)</f>
        <v>0</v>
      </c>
      <c r="AK61" s="51">
        <f>IF(AN61=12,H61,0)</f>
        <v>0</v>
      </c>
      <c r="AL61" s="51">
        <f>IF(AN61=21,H61,0)</f>
        <v>0</v>
      </c>
      <c r="AN61" s="51">
        <v>12</v>
      </c>
      <c r="AO61" s="51">
        <f>G61*0.590489533</f>
        <v>0</v>
      </c>
      <c r="AP61" s="51">
        <f>G61*(1-0.590489533)</f>
        <v>0</v>
      </c>
      <c r="AQ61" s="53" t="s">
        <v>111</v>
      </c>
      <c r="AV61" s="51">
        <f>ROUND(AW61+AX61,2)</f>
        <v>0</v>
      </c>
      <c r="AW61" s="51">
        <f>ROUND(F61*AO61,2)</f>
        <v>0</v>
      </c>
      <c r="AX61" s="51">
        <f>ROUND(F61*AP61,2)</f>
        <v>0</v>
      </c>
      <c r="AY61" s="53" t="s">
        <v>151</v>
      </c>
      <c r="AZ61" s="53" t="s">
        <v>152</v>
      </c>
      <c r="BA61" s="35" t="s">
        <v>117</v>
      </c>
      <c r="BC61" s="51">
        <f>AW61+AX61</f>
        <v>0</v>
      </c>
      <c r="BD61" s="51">
        <f>G61/(100-BE61)*100</f>
        <v>0</v>
      </c>
      <c r="BE61" s="51">
        <v>0</v>
      </c>
      <c r="BF61" s="51">
        <f>61</f>
        <v>61</v>
      </c>
      <c r="BH61" s="51">
        <f>F61*AO61</f>
        <v>0</v>
      </c>
      <c r="BI61" s="51">
        <f>F61*AP61</f>
        <v>0</v>
      </c>
      <c r="BJ61" s="51">
        <f>F61*G61</f>
        <v>0</v>
      </c>
      <c r="BK61" s="53" t="s">
        <v>118</v>
      </c>
      <c r="BL61" s="51">
        <v>61</v>
      </c>
      <c r="BW61" s="51">
        <v>12</v>
      </c>
      <c r="BX61" s="3" t="s">
        <v>212</v>
      </c>
    </row>
    <row r="62" spans="1:76" ht="13.5" customHeight="1">
      <c r="A62" s="54"/>
      <c r="B62" s="55" t="s">
        <v>119</v>
      </c>
      <c r="C62" s="152" t="s">
        <v>213</v>
      </c>
      <c r="D62" s="153"/>
      <c r="E62" s="153"/>
      <c r="F62" s="153"/>
      <c r="G62" s="154"/>
      <c r="H62" s="153"/>
      <c r="I62" s="153"/>
      <c r="J62" s="155"/>
    </row>
    <row r="63" spans="1:76">
      <c r="A63" s="54"/>
      <c r="C63" s="56" t="s">
        <v>111</v>
      </c>
      <c r="D63" s="57" t="s">
        <v>170</v>
      </c>
      <c r="F63" s="58">
        <v>1</v>
      </c>
      <c r="J63" s="41"/>
    </row>
    <row r="64" spans="1:76">
      <c r="A64" s="1" t="s">
        <v>214</v>
      </c>
      <c r="B64" s="2" t="s">
        <v>215</v>
      </c>
      <c r="C64" s="75" t="s">
        <v>212</v>
      </c>
      <c r="D64" s="70"/>
      <c r="E64" s="2" t="s">
        <v>114</v>
      </c>
      <c r="F64" s="51">
        <v>2</v>
      </c>
      <c r="G64" s="52">
        <v>0</v>
      </c>
      <c r="H64" s="51">
        <f>ROUND(F64*G64,2)</f>
        <v>0</v>
      </c>
      <c r="J64" s="41"/>
      <c r="Z64" s="51">
        <f>ROUND(IF(AQ64="5",BJ64,0),2)</f>
        <v>0</v>
      </c>
      <c r="AB64" s="51">
        <f>ROUND(IF(AQ64="1",BH64,0),2)</f>
        <v>0</v>
      </c>
      <c r="AC64" s="51">
        <f>ROUND(IF(AQ64="1",BI64,0),2)</f>
        <v>0</v>
      </c>
      <c r="AD64" s="51">
        <f>ROUND(IF(AQ64="7",BH64,0),2)</f>
        <v>0</v>
      </c>
      <c r="AE64" s="51">
        <f>ROUND(IF(AQ64="7",BI64,0),2)</f>
        <v>0</v>
      </c>
      <c r="AF64" s="51">
        <f>ROUND(IF(AQ64="2",BH64,0),2)</f>
        <v>0</v>
      </c>
      <c r="AG64" s="51">
        <f>ROUND(IF(AQ64="2",BI64,0),2)</f>
        <v>0</v>
      </c>
      <c r="AH64" s="51">
        <f>ROUND(IF(AQ64="0",BJ64,0),2)</f>
        <v>0</v>
      </c>
      <c r="AI64" s="35" t="s">
        <v>4</v>
      </c>
      <c r="AJ64" s="51">
        <f>IF(AN64=0,H64,0)</f>
        <v>0</v>
      </c>
      <c r="AK64" s="51">
        <f>IF(AN64=12,H64,0)</f>
        <v>0</v>
      </c>
      <c r="AL64" s="51">
        <f>IF(AN64=21,H64,0)</f>
        <v>0</v>
      </c>
      <c r="AN64" s="51">
        <v>12</v>
      </c>
      <c r="AO64" s="51">
        <f>G64*0.594408293</f>
        <v>0</v>
      </c>
      <c r="AP64" s="51">
        <f>G64*(1-0.594408293)</f>
        <v>0</v>
      </c>
      <c r="AQ64" s="53" t="s">
        <v>111</v>
      </c>
      <c r="AV64" s="51">
        <f>ROUND(AW64+AX64,2)</f>
        <v>0</v>
      </c>
      <c r="AW64" s="51">
        <f>ROUND(F64*AO64,2)</f>
        <v>0</v>
      </c>
      <c r="AX64" s="51">
        <f>ROUND(F64*AP64,2)</f>
        <v>0</v>
      </c>
      <c r="AY64" s="53" t="s">
        <v>151</v>
      </c>
      <c r="AZ64" s="53" t="s">
        <v>152</v>
      </c>
      <c r="BA64" s="35" t="s">
        <v>117</v>
      </c>
      <c r="BC64" s="51">
        <f>AW64+AX64</f>
        <v>0</v>
      </c>
      <c r="BD64" s="51">
        <f>G64/(100-BE64)*100</f>
        <v>0</v>
      </c>
      <c r="BE64" s="51">
        <v>0</v>
      </c>
      <c r="BF64" s="51">
        <f>64</f>
        <v>64</v>
      </c>
      <c r="BH64" s="51">
        <f>F64*AO64</f>
        <v>0</v>
      </c>
      <c r="BI64" s="51">
        <f>F64*AP64</f>
        <v>0</v>
      </c>
      <c r="BJ64" s="51">
        <f>F64*G64</f>
        <v>0</v>
      </c>
      <c r="BK64" s="53" t="s">
        <v>118</v>
      </c>
      <c r="BL64" s="51">
        <v>61</v>
      </c>
      <c r="BW64" s="51">
        <v>12</v>
      </c>
      <c r="BX64" s="3" t="s">
        <v>212</v>
      </c>
    </row>
    <row r="65" spans="1:76" ht="13.5" customHeight="1">
      <c r="A65" s="54"/>
      <c r="B65" s="55" t="s">
        <v>119</v>
      </c>
      <c r="C65" s="152" t="s">
        <v>216</v>
      </c>
      <c r="D65" s="153"/>
      <c r="E65" s="153"/>
      <c r="F65" s="153"/>
      <c r="G65" s="154"/>
      <c r="H65" s="153"/>
      <c r="I65" s="153"/>
      <c r="J65" s="155"/>
    </row>
    <row r="66" spans="1:76">
      <c r="A66" s="47" t="s">
        <v>4</v>
      </c>
      <c r="B66" s="48" t="s">
        <v>217</v>
      </c>
      <c r="C66" s="150" t="s">
        <v>218</v>
      </c>
      <c r="D66" s="151"/>
      <c r="E66" s="49" t="s">
        <v>79</v>
      </c>
      <c r="F66" s="49" t="s">
        <v>79</v>
      </c>
      <c r="G66" s="50" t="s">
        <v>79</v>
      </c>
      <c r="H66" s="28">
        <f>SUM(H67:H73)</f>
        <v>0</v>
      </c>
      <c r="J66" s="41"/>
      <c r="AI66" s="35" t="s">
        <v>4</v>
      </c>
      <c r="AS66" s="28">
        <f>SUM(AJ67:AJ73)</f>
        <v>0</v>
      </c>
      <c r="AT66" s="28">
        <f>SUM(AK67:AK73)</f>
        <v>0</v>
      </c>
      <c r="AU66" s="28">
        <f>SUM(AL67:AL73)</f>
        <v>0</v>
      </c>
    </row>
    <row r="67" spans="1:76">
      <c r="A67" s="1" t="s">
        <v>219</v>
      </c>
      <c r="B67" s="2" t="s">
        <v>220</v>
      </c>
      <c r="C67" s="75" t="s">
        <v>221</v>
      </c>
      <c r="D67" s="70"/>
      <c r="E67" s="2" t="s">
        <v>124</v>
      </c>
      <c r="F67" s="51">
        <v>3.72</v>
      </c>
      <c r="G67" s="52">
        <v>0</v>
      </c>
      <c r="H67" s="51">
        <f>ROUND(F67*G67,2)</f>
        <v>0</v>
      </c>
      <c r="J67" s="41"/>
      <c r="Z67" s="51">
        <f>ROUND(IF(AQ67="5",BJ67,0),2)</f>
        <v>0</v>
      </c>
      <c r="AB67" s="51">
        <f>ROUND(IF(AQ67="1",BH67,0),2)</f>
        <v>0</v>
      </c>
      <c r="AC67" s="51">
        <f>ROUND(IF(AQ67="1",BI67,0),2)</f>
        <v>0</v>
      </c>
      <c r="AD67" s="51">
        <f>ROUND(IF(AQ67="7",BH67,0),2)</f>
        <v>0</v>
      </c>
      <c r="AE67" s="51">
        <f>ROUND(IF(AQ67="7",BI67,0),2)</f>
        <v>0</v>
      </c>
      <c r="AF67" s="51">
        <f>ROUND(IF(AQ67="2",BH67,0),2)</f>
        <v>0</v>
      </c>
      <c r="AG67" s="51">
        <f>ROUND(IF(AQ67="2",BI67,0),2)</f>
        <v>0</v>
      </c>
      <c r="AH67" s="51">
        <f>ROUND(IF(AQ67="0",BJ67,0),2)</f>
        <v>0</v>
      </c>
      <c r="AI67" s="35" t="s">
        <v>4</v>
      </c>
      <c r="AJ67" s="51">
        <f>IF(AN67=0,H67,0)</f>
        <v>0</v>
      </c>
      <c r="AK67" s="51">
        <f>IF(AN67=12,H67,0)</f>
        <v>0</v>
      </c>
      <c r="AL67" s="51">
        <f>IF(AN67=21,H67,0)</f>
        <v>0</v>
      </c>
      <c r="AN67" s="51">
        <v>12</v>
      </c>
      <c r="AO67" s="51">
        <f>G67*0.583448516</f>
        <v>0</v>
      </c>
      <c r="AP67" s="51">
        <f>G67*(1-0.583448516)</f>
        <v>0</v>
      </c>
      <c r="AQ67" s="53" t="s">
        <v>111</v>
      </c>
      <c r="AV67" s="51">
        <f>ROUND(AW67+AX67,2)</f>
        <v>0</v>
      </c>
      <c r="AW67" s="51">
        <f>ROUND(F67*AO67,2)</f>
        <v>0</v>
      </c>
      <c r="AX67" s="51">
        <f>ROUND(F67*AP67,2)</f>
        <v>0</v>
      </c>
      <c r="AY67" s="53" t="s">
        <v>222</v>
      </c>
      <c r="AZ67" s="53" t="s">
        <v>152</v>
      </c>
      <c r="BA67" s="35" t="s">
        <v>117</v>
      </c>
      <c r="BC67" s="51">
        <f>AW67+AX67</f>
        <v>0</v>
      </c>
      <c r="BD67" s="51">
        <f>G67/(100-BE67)*100</f>
        <v>0</v>
      </c>
      <c r="BE67" s="51">
        <v>0</v>
      </c>
      <c r="BF67" s="51">
        <f>67</f>
        <v>67</v>
      </c>
      <c r="BH67" s="51">
        <f>F67*AO67</f>
        <v>0</v>
      </c>
      <c r="BI67" s="51">
        <f>F67*AP67</f>
        <v>0</v>
      </c>
      <c r="BJ67" s="51">
        <f>F67*G67</f>
        <v>0</v>
      </c>
      <c r="BK67" s="53" t="s">
        <v>118</v>
      </c>
      <c r="BL67" s="51">
        <v>63</v>
      </c>
      <c r="BW67" s="51">
        <v>12</v>
      </c>
      <c r="BX67" s="3" t="s">
        <v>221</v>
      </c>
    </row>
    <row r="68" spans="1:76">
      <c r="A68" s="54"/>
      <c r="C68" s="56" t="s">
        <v>223</v>
      </c>
      <c r="D68" s="57" t="s">
        <v>170</v>
      </c>
      <c r="F68" s="58">
        <v>1.08</v>
      </c>
      <c r="J68" s="41"/>
    </row>
    <row r="69" spans="1:76">
      <c r="A69" s="54"/>
      <c r="C69" s="56" t="s">
        <v>224</v>
      </c>
      <c r="D69" s="57" t="s">
        <v>172</v>
      </c>
      <c r="F69" s="58">
        <v>2.64</v>
      </c>
      <c r="J69" s="41"/>
    </row>
    <row r="70" spans="1:76">
      <c r="A70" s="1" t="s">
        <v>225</v>
      </c>
      <c r="B70" s="2" t="s">
        <v>226</v>
      </c>
      <c r="C70" s="75" t="s">
        <v>227</v>
      </c>
      <c r="D70" s="70"/>
      <c r="E70" s="2" t="s">
        <v>124</v>
      </c>
      <c r="F70" s="51">
        <v>38.83</v>
      </c>
      <c r="G70" s="52">
        <v>0</v>
      </c>
      <c r="H70" s="51">
        <f>ROUND(F70*G70,2)</f>
        <v>0</v>
      </c>
      <c r="J70" s="41"/>
      <c r="Z70" s="51">
        <f>ROUND(IF(AQ70="5",BJ70,0),2)</f>
        <v>0</v>
      </c>
      <c r="AB70" s="51">
        <f>ROUND(IF(AQ70="1",BH70,0),2)</f>
        <v>0</v>
      </c>
      <c r="AC70" s="51">
        <f>ROUND(IF(AQ70="1",BI70,0),2)</f>
        <v>0</v>
      </c>
      <c r="AD70" s="51">
        <f>ROUND(IF(AQ70="7",BH70,0),2)</f>
        <v>0</v>
      </c>
      <c r="AE70" s="51">
        <f>ROUND(IF(AQ70="7",BI70,0),2)</f>
        <v>0</v>
      </c>
      <c r="AF70" s="51">
        <f>ROUND(IF(AQ70="2",BH70,0),2)</f>
        <v>0</v>
      </c>
      <c r="AG70" s="51">
        <f>ROUND(IF(AQ70="2",BI70,0),2)</f>
        <v>0</v>
      </c>
      <c r="AH70" s="51">
        <f>ROUND(IF(AQ70="0",BJ70,0),2)</f>
        <v>0</v>
      </c>
      <c r="AI70" s="35" t="s">
        <v>4</v>
      </c>
      <c r="AJ70" s="51">
        <f>IF(AN70=0,H70,0)</f>
        <v>0</v>
      </c>
      <c r="AK70" s="51">
        <f>IF(AN70=12,H70,0)</f>
        <v>0</v>
      </c>
      <c r="AL70" s="51">
        <f>IF(AN70=21,H70,0)</f>
        <v>0</v>
      </c>
      <c r="AN70" s="51">
        <v>12</v>
      </c>
      <c r="AO70" s="51">
        <f>G70*0.748258596</f>
        <v>0</v>
      </c>
      <c r="AP70" s="51">
        <f>G70*(1-0.748258596)</f>
        <v>0</v>
      </c>
      <c r="AQ70" s="53" t="s">
        <v>111</v>
      </c>
      <c r="AV70" s="51">
        <f>ROUND(AW70+AX70,2)</f>
        <v>0</v>
      </c>
      <c r="AW70" s="51">
        <f>ROUND(F70*AO70,2)</f>
        <v>0</v>
      </c>
      <c r="AX70" s="51">
        <f>ROUND(F70*AP70,2)</f>
        <v>0</v>
      </c>
      <c r="AY70" s="53" t="s">
        <v>222</v>
      </c>
      <c r="AZ70" s="53" t="s">
        <v>152</v>
      </c>
      <c r="BA70" s="35" t="s">
        <v>117</v>
      </c>
      <c r="BC70" s="51">
        <f>AW70+AX70</f>
        <v>0</v>
      </c>
      <c r="BD70" s="51">
        <f>G70/(100-BE70)*100</f>
        <v>0</v>
      </c>
      <c r="BE70" s="51">
        <v>0</v>
      </c>
      <c r="BF70" s="51">
        <f>70</f>
        <v>70</v>
      </c>
      <c r="BH70" s="51">
        <f>F70*AO70</f>
        <v>0</v>
      </c>
      <c r="BI70" s="51">
        <f>F70*AP70</f>
        <v>0</v>
      </c>
      <c r="BJ70" s="51">
        <f>F70*G70</f>
        <v>0</v>
      </c>
      <c r="BK70" s="53" t="s">
        <v>118</v>
      </c>
      <c r="BL70" s="51">
        <v>63</v>
      </c>
      <c r="BW70" s="51">
        <v>12</v>
      </c>
      <c r="BX70" s="3" t="s">
        <v>227</v>
      </c>
    </row>
    <row r="71" spans="1:76" ht="13.5" customHeight="1">
      <c r="A71" s="54"/>
      <c r="B71" s="55" t="s">
        <v>119</v>
      </c>
      <c r="C71" s="152" t="s">
        <v>228</v>
      </c>
      <c r="D71" s="153"/>
      <c r="E71" s="153"/>
      <c r="F71" s="153"/>
      <c r="G71" s="154"/>
      <c r="H71" s="153"/>
      <c r="I71" s="153"/>
      <c r="J71" s="155"/>
    </row>
    <row r="72" spans="1:76">
      <c r="A72" s="54"/>
      <c r="C72" s="56" t="s">
        <v>153</v>
      </c>
      <c r="D72" s="57" t="s">
        <v>4</v>
      </c>
      <c r="F72" s="58">
        <v>38.83</v>
      </c>
      <c r="J72" s="41"/>
    </row>
    <row r="73" spans="1:76">
      <c r="A73" s="1" t="s">
        <v>229</v>
      </c>
      <c r="B73" s="2" t="s">
        <v>230</v>
      </c>
      <c r="C73" s="75" t="s">
        <v>231</v>
      </c>
      <c r="D73" s="70"/>
      <c r="E73" s="2" t="s">
        <v>124</v>
      </c>
      <c r="F73" s="51">
        <v>38.83</v>
      </c>
      <c r="G73" s="52">
        <v>0</v>
      </c>
      <c r="H73" s="51">
        <f>ROUND(F73*G73,2)</f>
        <v>0</v>
      </c>
      <c r="J73" s="41"/>
      <c r="Z73" s="51">
        <f>ROUND(IF(AQ73="5",BJ73,0),2)</f>
        <v>0</v>
      </c>
      <c r="AB73" s="51">
        <f>ROUND(IF(AQ73="1",BH73,0),2)</f>
        <v>0</v>
      </c>
      <c r="AC73" s="51">
        <f>ROUND(IF(AQ73="1",BI73,0),2)</f>
        <v>0</v>
      </c>
      <c r="AD73" s="51">
        <f>ROUND(IF(AQ73="7",BH73,0),2)</f>
        <v>0</v>
      </c>
      <c r="AE73" s="51">
        <f>ROUND(IF(AQ73="7",BI73,0),2)</f>
        <v>0</v>
      </c>
      <c r="AF73" s="51">
        <f>ROUND(IF(AQ73="2",BH73,0),2)</f>
        <v>0</v>
      </c>
      <c r="AG73" s="51">
        <f>ROUND(IF(AQ73="2",BI73,0),2)</f>
        <v>0</v>
      </c>
      <c r="AH73" s="51">
        <f>ROUND(IF(AQ73="0",BJ73,0),2)</f>
        <v>0</v>
      </c>
      <c r="AI73" s="35" t="s">
        <v>4</v>
      </c>
      <c r="AJ73" s="51">
        <f>IF(AN73=0,H73,0)</f>
        <v>0</v>
      </c>
      <c r="AK73" s="51">
        <f>IF(AN73=12,H73,0)</f>
        <v>0</v>
      </c>
      <c r="AL73" s="51">
        <f>IF(AN73=21,H73,0)</f>
        <v>0</v>
      </c>
      <c r="AN73" s="51">
        <v>12</v>
      </c>
      <c r="AO73" s="51">
        <f>G73*0.486725266</f>
        <v>0</v>
      </c>
      <c r="AP73" s="51">
        <f>G73*(1-0.486725266)</f>
        <v>0</v>
      </c>
      <c r="AQ73" s="53" t="s">
        <v>111</v>
      </c>
      <c r="AV73" s="51">
        <f>ROUND(AW73+AX73,2)</f>
        <v>0</v>
      </c>
      <c r="AW73" s="51">
        <f>ROUND(F73*AO73,2)</f>
        <v>0</v>
      </c>
      <c r="AX73" s="51">
        <f>ROUND(F73*AP73,2)</f>
        <v>0</v>
      </c>
      <c r="AY73" s="53" t="s">
        <v>222</v>
      </c>
      <c r="AZ73" s="53" t="s">
        <v>152</v>
      </c>
      <c r="BA73" s="35" t="s">
        <v>117</v>
      </c>
      <c r="BC73" s="51">
        <f>AW73+AX73</f>
        <v>0</v>
      </c>
      <c r="BD73" s="51">
        <f>G73/(100-BE73)*100</f>
        <v>0</v>
      </c>
      <c r="BE73" s="51">
        <v>0</v>
      </c>
      <c r="BF73" s="51">
        <f>73</f>
        <v>73</v>
      </c>
      <c r="BH73" s="51">
        <f>F73*AO73</f>
        <v>0</v>
      </c>
      <c r="BI73" s="51">
        <f>F73*AP73</f>
        <v>0</v>
      </c>
      <c r="BJ73" s="51">
        <f>F73*G73</f>
        <v>0</v>
      </c>
      <c r="BK73" s="53" t="s">
        <v>118</v>
      </c>
      <c r="BL73" s="51">
        <v>63</v>
      </c>
      <c r="BW73" s="51">
        <v>12</v>
      </c>
      <c r="BX73" s="3" t="s">
        <v>231</v>
      </c>
    </row>
    <row r="74" spans="1:76">
      <c r="A74" s="47" t="s">
        <v>4</v>
      </c>
      <c r="B74" s="48" t="s">
        <v>232</v>
      </c>
      <c r="C74" s="150" t="s">
        <v>233</v>
      </c>
      <c r="D74" s="151"/>
      <c r="E74" s="49" t="s">
        <v>79</v>
      </c>
      <c r="F74" s="49" t="s">
        <v>79</v>
      </c>
      <c r="G74" s="50" t="s">
        <v>79</v>
      </c>
      <c r="H74" s="28">
        <f>SUM(H75:H82)</f>
        <v>0</v>
      </c>
      <c r="J74" s="41"/>
      <c r="AI74" s="35" t="s">
        <v>4</v>
      </c>
      <c r="AS74" s="28">
        <f>SUM(AJ75:AJ82)</f>
        <v>0</v>
      </c>
      <c r="AT74" s="28">
        <f>SUM(AK75:AK82)</f>
        <v>0</v>
      </c>
      <c r="AU74" s="28">
        <f>SUM(AL75:AL82)</f>
        <v>0</v>
      </c>
    </row>
    <row r="75" spans="1:76">
      <c r="A75" s="1" t="s">
        <v>234</v>
      </c>
      <c r="B75" s="2" t="s">
        <v>235</v>
      </c>
      <c r="C75" s="75" t="s">
        <v>236</v>
      </c>
      <c r="D75" s="70"/>
      <c r="E75" s="2" t="s">
        <v>237</v>
      </c>
      <c r="F75" s="51">
        <v>10</v>
      </c>
      <c r="G75" s="52">
        <v>0</v>
      </c>
      <c r="H75" s="51">
        <f>ROUND(F75*G75,2)</f>
        <v>0</v>
      </c>
      <c r="J75" s="41"/>
      <c r="Z75" s="51">
        <f>ROUND(IF(AQ75="5",BJ75,0),2)</f>
        <v>0</v>
      </c>
      <c r="AB75" s="51">
        <f>ROUND(IF(AQ75="1",BH75,0),2)</f>
        <v>0</v>
      </c>
      <c r="AC75" s="51">
        <f>ROUND(IF(AQ75="1",BI75,0),2)</f>
        <v>0</v>
      </c>
      <c r="AD75" s="51">
        <f>ROUND(IF(AQ75="7",BH75,0),2)</f>
        <v>0</v>
      </c>
      <c r="AE75" s="51">
        <f>ROUND(IF(AQ75="7",BI75,0),2)</f>
        <v>0</v>
      </c>
      <c r="AF75" s="51">
        <f>ROUND(IF(AQ75="2",BH75,0),2)</f>
        <v>0</v>
      </c>
      <c r="AG75" s="51">
        <f>ROUND(IF(AQ75="2",BI75,0),2)</f>
        <v>0</v>
      </c>
      <c r="AH75" s="51">
        <f>ROUND(IF(AQ75="0",BJ75,0),2)</f>
        <v>0</v>
      </c>
      <c r="AI75" s="35" t="s">
        <v>4</v>
      </c>
      <c r="AJ75" s="51">
        <f>IF(AN75=0,H75,0)</f>
        <v>0</v>
      </c>
      <c r="AK75" s="51">
        <f>IF(AN75=12,H75,0)</f>
        <v>0</v>
      </c>
      <c r="AL75" s="51">
        <f>IF(AN75=21,H75,0)</f>
        <v>0</v>
      </c>
      <c r="AN75" s="51">
        <v>12</v>
      </c>
      <c r="AO75" s="51">
        <f>G75*0</f>
        <v>0</v>
      </c>
      <c r="AP75" s="51">
        <f>G75*(1-0)</f>
        <v>0</v>
      </c>
      <c r="AQ75" s="53" t="s">
        <v>111</v>
      </c>
      <c r="AV75" s="51">
        <f>ROUND(AW75+AX75,2)</f>
        <v>0</v>
      </c>
      <c r="AW75" s="51">
        <f>ROUND(F75*AO75,2)</f>
        <v>0</v>
      </c>
      <c r="AX75" s="51">
        <f>ROUND(F75*AP75,2)</f>
        <v>0</v>
      </c>
      <c r="AY75" s="53" t="s">
        <v>238</v>
      </c>
      <c r="AZ75" s="53" t="s">
        <v>239</v>
      </c>
      <c r="BA75" s="35" t="s">
        <v>117</v>
      </c>
      <c r="BC75" s="51">
        <f>AW75+AX75</f>
        <v>0</v>
      </c>
      <c r="BD75" s="51">
        <f>G75/(100-BE75)*100</f>
        <v>0</v>
      </c>
      <c r="BE75" s="51">
        <v>0</v>
      </c>
      <c r="BF75" s="51">
        <f>75</f>
        <v>75</v>
      </c>
      <c r="BH75" s="51">
        <f>F75*AO75</f>
        <v>0</v>
      </c>
      <c r="BI75" s="51">
        <f>F75*AP75</f>
        <v>0</v>
      </c>
      <c r="BJ75" s="51">
        <f>F75*G75</f>
        <v>0</v>
      </c>
      <c r="BK75" s="53" t="s">
        <v>118</v>
      </c>
      <c r="BL75" s="51">
        <v>95</v>
      </c>
      <c r="BW75" s="51">
        <v>12</v>
      </c>
      <c r="BX75" s="3" t="s">
        <v>236</v>
      </c>
    </row>
    <row r="76" spans="1:76" ht="13.5" customHeight="1">
      <c r="A76" s="54"/>
      <c r="B76" s="55" t="s">
        <v>119</v>
      </c>
      <c r="C76" s="152" t="s">
        <v>240</v>
      </c>
      <c r="D76" s="153"/>
      <c r="E76" s="153"/>
      <c r="F76" s="153"/>
      <c r="G76" s="154"/>
      <c r="H76" s="153"/>
      <c r="I76" s="153"/>
      <c r="J76" s="155"/>
    </row>
    <row r="77" spans="1:76">
      <c r="A77" s="1" t="s">
        <v>241</v>
      </c>
      <c r="B77" s="2" t="s">
        <v>242</v>
      </c>
      <c r="C77" s="75" t="s">
        <v>243</v>
      </c>
      <c r="D77" s="70"/>
      <c r="E77" s="2" t="s">
        <v>124</v>
      </c>
      <c r="F77" s="51">
        <v>40</v>
      </c>
      <c r="G77" s="52">
        <v>0</v>
      </c>
      <c r="H77" s="51">
        <f>ROUND(F77*G77,2)</f>
        <v>0</v>
      </c>
      <c r="J77" s="41"/>
      <c r="Z77" s="51">
        <f>ROUND(IF(AQ77="5",BJ77,0),2)</f>
        <v>0</v>
      </c>
      <c r="AB77" s="51">
        <f>ROUND(IF(AQ77="1",BH77,0),2)</f>
        <v>0</v>
      </c>
      <c r="AC77" s="51">
        <f>ROUND(IF(AQ77="1",BI77,0),2)</f>
        <v>0</v>
      </c>
      <c r="AD77" s="51">
        <f>ROUND(IF(AQ77="7",BH77,0),2)</f>
        <v>0</v>
      </c>
      <c r="AE77" s="51">
        <f>ROUND(IF(AQ77="7",BI77,0),2)</f>
        <v>0</v>
      </c>
      <c r="AF77" s="51">
        <f>ROUND(IF(AQ77="2",BH77,0),2)</f>
        <v>0</v>
      </c>
      <c r="AG77" s="51">
        <f>ROUND(IF(AQ77="2",BI77,0),2)</f>
        <v>0</v>
      </c>
      <c r="AH77" s="51">
        <f>ROUND(IF(AQ77="0",BJ77,0),2)</f>
        <v>0</v>
      </c>
      <c r="AI77" s="35" t="s">
        <v>4</v>
      </c>
      <c r="AJ77" s="51">
        <f>IF(AN77=0,H77,0)</f>
        <v>0</v>
      </c>
      <c r="AK77" s="51">
        <f>IF(AN77=12,H77,0)</f>
        <v>0</v>
      </c>
      <c r="AL77" s="51">
        <f>IF(AN77=21,H77,0)</f>
        <v>0</v>
      </c>
      <c r="AN77" s="51">
        <v>12</v>
      </c>
      <c r="AO77" s="51">
        <f>G77*0.012649573</f>
        <v>0</v>
      </c>
      <c r="AP77" s="51">
        <f>G77*(1-0.012649573)</f>
        <v>0</v>
      </c>
      <c r="AQ77" s="53" t="s">
        <v>111</v>
      </c>
      <c r="AV77" s="51">
        <f>ROUND(AW77+AX77,2)</f>
        <v>0</v>
      </c>
      <c r="AW77" s="51">
        <f>ROUND(F77*AO77,2)</f>
        <v>0</v>
      </c>
      <c r="AX77" s="51">
        <f>ROUND(F77*AP77,2)</f>
        <v>0</v>
      </c>
      <c r="AY77" s="53" t="s">
        <v>238</v>
      </c>
      <c r="AZ77" s="53" t="s">
        <v>239</v>
      </c>
      <c r="BA77" s="35" t="s">
        <v>117</v>
      </c>
      <c r="BC77" s="51">
        <f>AW77+AX77</f>
        <v>0</v>
      </c>
      <c r="BD77" s="51">
        <f>G77/(100-BE77)*100</f>
        <v>0</v>
      </c>
      <c r="BE77" s="51">
        <v>0</v>
      </c>
      <c r="BF77" s="51">
        <f>77</f>
        <v>77</v>
      </c>
      <c r="BH77" s="51">
        <f>F77*AO77</f>
        <v>0</v>
      </c>
      <c r="BI77" s="51">
        <f>F77*AP77</f>
        <v>0</v>
      </c>
      <c r="BJ77" s="51">
        <f>F77*G77</f>
        <v>0</v>
      </c>
      <c r="BK77" s="53" t="s">
        <v>118</v>
      </c>
      <c r="BL77" s="51">
        <v>95</v>
      </c>
      <c r="BW77" s="51">
        <v>12</v>
      </c>
      <c r="BX77" s="3" t="s">
        <v>243</v>
      </c>
    </row>
    <row r="78" spans="1:76">
      <c r="A78" s="1" t="s">
        <v>244</v>
      </c>
      <c r="B78" s="2" t="s">
        <v>245</v>
      </c>
      <c r="C78" s="75" t="s">
        <v>246</v>
      </c>
      <c r="D78" s="70"/>
      <c r="E78" s="2" t="s">
        <v>114</v>
      </c>
      <c r="F78" s="51">
        <v>1</v>
      </c>
      <c r="G78" s="52">
        <v>0</v>
      </c>
      <c r="H78" s="51">
        <f>ROUND(F78*G78,2)</f>
        <v>0</v>
      </c>
      <c r="J78" s="41"/>
      <c r="Z78" s="51">
        <f>ROUND(IF(AQ78="5",BJ78,0),2)</f>
        <v>0</v>
      </c>
      <c r="AB78" s="51">
        <f>ROUND(IF(AQ78="1",BH78,0),2)</f>
        <v>0</v>
      </c>
      <c r="AC78" s="51">
        <f>ROUND(IF(AQ78="1",BI78,0),2)</f>
        <v>0</v>
      </c>
      <c r="AD78" s="51">
        <f>ROUND(IF(AQ78="7",BH78,0),2)</f>
        <v>0</v>
      </c>
      <c r="AE78" s="51">
        <f>ROUND(IF(AQ78="7",BI78,0),2)</f>
        <v>0</v>
      </c>
      <c r="AF78" s="51">
        <f>ROUND(IF(AQ78="2",BH78,0),2)</f>
        <v>0</v>
      </c>
      <c r="AG78" s="51">
        <f>ROUND(IF(AQ78="2",BI78,0),2)</f>
        <v>0</v>
      </c>
      <c r="AH78" s="51">
        <f>ROUND(IF(AQ78="0",BJ78,0),2)</f>
        <v>0</v>
      </c>
      <c r="AI78" s="35" t="s">
        <v>4</v>
      </c>
      <c r="AJ78" s="51">
        <f>IF(AN78=0,H78,0)</f>
        <v>0</v>
      </c>
      <c r="AK78" s="51">
        <f>IF(AN78=12,H78,0)</f>
        <v>0</v>
      </c>
      <c r="AL78" s="51">
        <f>IF(AN78=21,H78,0)</f>
        <v>0</v>
      </c>
      <c r="AN78" s="51">
        <v>12</v>
      </c>
      <c r="AO78" s="51">
        <f>G78*0.077704082</f>
        <v>0</v>
      </c>
      <c r="AP78" s="51">
        <f>G78*(1-0.077704082)</f>
        <v>0</v>
      </c>
      <c r="AQ78" s="53" t="s">
        <v>111</v>
      </c>
      <c r="AV78" s="51">
        <f>ROUND(AW78+AX78,2)</f>
        <v>0</v>
      </c>
      <c r="AW78" s="51">
        <f>ROUND(F78*AO78,2)</f>
        <v>0</v>
      </c>
      <c r="AX78" s="51">
        <f>ROUND(F78*AP78,2)</f>
        <v>0</v>
      </c>
      <c r="AY78" s="53" t="s">
        <v>238</v>
      </c>
      <c r="AZ78" s="53" t="s">
        <v>239</v>
      </c>
      <c r="BA78" s="35" t="s">
        <v>117</v>
      </c>
      <c r="BC78" s="51">
        <f>AW78+AX78</f>
        <v>0</v>
      </c>
      <c r="BD78" s="51">
        <f>G78/(100-BE78)*100</f>
        <v>0</v>
      </c>
      <c r="BE78" s="51">
        <v>0</v>
      </c>
      <c r="BF78" s="51">
        <f>78</f>
        <v>78</v>
      </c>
      <c r="BH78" s="51">
        <f>F78*AO78</f>
        <v>0</v>
      </c>
      <c r="BI78" s="51">
        <f>F78*AP78</f>
        <v>0</v>
      </c>
      <c r="BJ78" s="51">
        <f>F78*G78</f>
        <v>0</v>
      </c>
      <c r="BK78" s="53" t="s">
        <v>118</v>
      </c>
      <c r="BL78" s="51">
        <v>95</v>
      </c>
      <c r="BW78" s="51">
        <v>12</v>
      </c>
      <c r="BX78" s="3" t="s">
        <v>246</v>
      </c>
    </row>
    <row r="79" spans="1:76">
      <c r="A79" s="54"/>
      <c r="C79" s="56" t="s">
        <v>111</v>
      </c>
      <c r="D79" s="57" t="s">
        <v>247</v>
      </c>
      <c r="F79" s="58">
        <v>1</v>
      </c>
      <c r="J79" s="41"/>
    </row>
    <row r="80" spans="1:76">
      <c r="A80" s="1" t="s">
        <v>248</v>
      </c>
      <c r="B80" s="2" t="s">
        <v>249</v>
      </c>
      <c r="C80" s="75" t="s">
        <v>250</v>
      </c>
      <c r="D80" s="70"/>
      <c r="E80" s="2" t="s">
        <v>251</v>
      </c>
      <c r="F80" s="51">
        <v>5</v>
      </c>
      <c r="G80" s="52">
        <v>0</v>
      </c>
      <c r="H80" s="51">
        <f>ROUND(F80*G80,2)</f>
        <v>0</v>
      </c>
      <c r="J80" s="41"/>
      <c r="Z80" s="51">
        <f>ROUND(IF(AQ80="5",BJ80,0),2)</f>
        <v>0</v>
      </c>
      <c r="AB80" s="51">
        <f>ROUND(IF(AQ80="1",BH80,0),2)</f>
        <v>0</v>
      </c>
      <c r="AC80" s="51">
        <f>ROUND(IF(AQ80="1",BI80,0),2)</f>
        <v>0</v>
      </c>
      <c r="AD80" s="51">
        <f>ROUND(IF(AQ80="7",BH80,0),2)</f>
        <v>0</v>
      </c>
      <c r="AE80" s="51">
        <f>ROUND(IF(AQ80="7",BI80,0),2)</f>
        <v>0</v>
      </c>
      <c r="AF80" s="51">
        <f>ROUND(IF(AQ80="2",BH80,0),2)</f>
        <v>0</v>
      </c>
      <c r="AG80" s="51">
        <f>ROUND(IF(AQ80="2",BI80,0),2)</f>
        <v>0</v>
      </c>
      <c r="AH80" s="51">
        <f>ROUND(IF(AQ80="0",BJ80,0),2)</f>
        <v>0</v>
      </c>
      <c r="AI80" s="35" t="s">
        <v>4</v>
      </c>
      <c r="AJ80" s="51">
        <f>IF(AN80=0,H80,0)</f>
        <v>0</v>
      </c>
      <c r="AK80" s="51">
        <f>IF(AN80=12,H80,0)</f>
        <v>0</v>
      </c>
      <c r="AL80" s="51">
        <f>IF(AN80=21,H80,0)</f>
        <v>0</v>
      </c>
      <c r="AN80" s="51">
        <v>12</v>
      </c>
      <c r="AO80" s="51">
        <f>G80*0</f>
        <v>0</v>
      </c>
      <c r="AP80" s="51">
        <f>G80*(1-0)</f>
        <v>0</v>
      </c>
      <c r="AQ80" s="53" t="s">
        <v>111</v>
      </c>
      <c r="AV80" s="51">
        <f>ROUND(AW80+AX80,2)</f>
        <v>0</v>
      </c>
      <c r="AW80" s="51">
        <f>ROUND(F80*AO80,2)</f>
        <v>0</v>
      </c>
      <c r="AX80" s="51">
        <f>ROUND(F80*AP80,2)</f>
        <v>0</v>
      </c>
      <c r="AY80" s="53" t="s">
        <v>238</v>
      </c>
      <c r="AZ80" s="53" t="s">
        <v>239</v>
      </c>
      <c r="BA80" s="35" t="s">
        <v>117</v>
      </c>
      <c r="BC80" s="51">
        <f>AW80+AX80</f>
        <v>0</v>
      </c>
      <c r="BD80" s="51">
        <f>G80/(100-BE80)*100</f>
        <v>0</v>
      </c>
      <c r="BE80" s="51">
        <v>0</v>
      </c>
      <c r="BF80" s="51">
        <f>80</f>
        <v>80</v>
      </c>
      <c r="BH80" s="51">
        <f>F80*AO80</f>
        <v>0</v>
      </c>
      <c r="BI80" s="51">
        <f>F80*AP80</f>
        <v>0</v>
      </c>
      <c r="BJ80" s="51">
        <f>F80*G80</f>
        <v>0</v>
      </c>
      <c r="BK80" s="53" t="s">
        <v>118</v>
      </c>
      <c r="BL80" s="51">
        <v>95</v>
      </c>
      <c r="BW80" s="51">
        <v>12</v>
      </c>
      <c r="BX80" s="3" t="s">
        <v>250</v>
      </c>
    </row>
    <row r="81" spans="1:76">
      <c r="A81" s="54"/>
      <c r="C81" s="56" t="s">
        <v>137</v>
      </c>
      <c r="D81" s="57" t="s">
        <v>252</v>
      </c>
      <c r="F81" s="58">
        <v>5</v>
      </c>
      <c r="J81" s="41"/>
    </row>
    <row r="82" spans="1:76" ht="25.5">
      <c r="A82" s="1" t="s">
        <v>253</v>
      </c>
      <c r="B82" s="2" t="s">
        <v>254</v>
      </c>
      <c r="C82" s="75" t="s">
        <v>255</v>
      </c>
      <c r="D82" s="70"/>
      <c r="E82" s="2" t="s">
        <v>114</v>
      </c>
      <c r="F82" s="51">
        <v>1</v>
      </c>
      <c r="G82" s="52">
        <v>0</v>
      </c>
      <c r="H82" s="51">
        <f>ROUND(F82*G82,2)</f>
        <v>0</v>
      </c>
      <c r="J82" s="41"/>
      <c r="Z82" s="51">
        <f>ROUND(IF(AQ82="5",BJ82,0),2)</f>
        <v>0</v>
      </c>
      <c r="AB82" s="51">
        <f>ROUND(IF(AQ82="1",BH82,0),2)</f>
        <v>0</v>
      </c>
      <c r="AC82" s="51">
        <f>ROUND(IF(AQ82="1",BI82,0),2)</f>
        <v>0</v>
      </c>
      <c r="AD82" s="51">
        <f>ROUND(IF(AQ82="7",BH82,0),2)</f>
        <v>0</v>
      </c>
      <c r="AE82" s="51">
        <f>ROUND(IF(AQ82="7",BI82,0),2)</f>
        <v>0</v>
      </c>
      <c r="AF82" s="51">
        <f>ROUND(IF(AQ82="2",BH82,0),2)</f>
        <v>0</v>
      </c>
      <c r="AG82" s="51">
        <f>ROUND(IF(AQ82="2",BI82,0),2)</f>
        <v>0</v>
      </c>
      <c r="AH82" s="51">
        <f>ROUND(IF(AQ82="0",BJ82,0),2)</f>
        <v>0</v>
      </c>
      <c r="AI82" s="35" t="s">
        <v>4</v>
      </c>
      <c r="AJ82" s="51">
        <f>IF(AN82=0,H82,0)</f>
        <v>0</v>
      </c>
      <c r="AK82" s="51">
        <f>IF(AN82=12,H82,0)</f>
        <v>0</v>
      </c>
      <c r="AL82" s="51">
        <f>IF(AN82=21,H82,0)</f>
        <v>0</v>
      </c>
      <c r="AN82" s="51">
        <v>12</v>
      </c>
      <c r="AO82" s="51">
        <f>G82*1</f>
        <v>0</v>
      </c>
      <c r="AP82" s="51">
        <f>G82*(1-1)</f>
        <v>0</v>
      </c>
      <c r="AQ82" s="53" t="s">
        <v>111</v>
      </c>
      <c r="AV82" s="51">
        <f>ROUND(AW82+AX82,2)</f>
        <v>0</v>
      </c>
      <c r="AW82" s="51">
        <f>ROUND(F82*AO82,2)</f>
        <v>0</v>
      </c>
      <c r="AX82" s="51">
        <f>ROUND(F82*AP82,2)</f>
        <v>0</v>
      </c>
      <c r="AY82" s="53" t="s">
        <v>238</v>
      </c>
      <c r="AZ82" s="53" t="s">
        <v>239</v>
      </c>
      <c r="BA82" s="35" t="s">
        <v>117</v>
      </c>
      <c r="BC82" s="51">
        <f>AW82+AX82</f>
        <v>0</v>
      </c>
      <c r="BD82" s="51">
        <f>G82/(100-BE82)*100</f>
        <v>0</v>
      </c>
      <c r="BE82" s="51">
        <v>0</v>
      </c>
      <c r="BF82" s="51">
        <f>82</f>
        <v>82</v>
      </c>
      <c r="BH82" s="51">
        <f>F82*AO82</f>
        <v>0</v>
      </c>
      <c r="BI82" s="51">
        <f>F82*AP82</f>
        <v>0</v>
      </c>
      <c r="BJ82" s="51">
        <f>F82*G82</f>
        <v>0</v>
      </c>
      <c r="BK82" s="53" t="s">
        <v>256</v>
      </c>
      <c r="BL82" s="51">
        <v>95</v>
      </c>
      <c r="BW82" s="51">
        <v>12</v>
      </c>
      <c r="BX82" s="3" t="s">
        <v>255</v>
      </c>
    </row>
    <row r="83" spans="1:76">
      <c r="A83" s="47" t="s">
        <v>4</v>
      </c>
      <c r="B83" s="48" t="s">
        <v>257</v>
      </c>
      <c r="C83" s="150" t="s">
        <v>258</v>
      </c>
      <c r="D83" s="151"/>
      <c r="E83" s="49" t="s">
        <v>79</v>
      </c>
      <c r="F83" s="49" t="s">
        <v>79</v>
      </c>
      <c r="G83" s="50" t="s">
        <v>79</v>
      </c>
      <c r="H83" s="28">
        <f>SUM(H84:H101)</f>
        <v>0</v>
      </c>
      <c r="J83" s="41"/>
      <c r="AI83" s="35" t="s">
        <v>4</v>
      </c>
      <c r="AS83" s="28">
        <f>SUM(AJ84:AJ101)</f>
        <v>0</v>
      </c>
      <c r="AT83" s="28">
        <f>SUM(AK84:AK101)</f>
        <v>0</v>
      </c>
      <c r="AU83" s="28">
        <f>SUM(AL84:AL101)</f>
        <v>0</v>
      </c>
    </row>
    <row r="84" spans="1:76">
      <c r="A84" s="1" t="s">
        <v>259</v>
      </c>
      <c r="B84" s="2" t="s">
        <v>260</v>
      </c>
      <c r="C84" s="75" t="s">
        <v>261</v>
      </c>
      <c r="D84" s="70"/>
      <c r="E84" s="2" t="s">
        <v>114</v>
      </c>
      <c r="F84" s="51">
        <v>2</v>
      </c>
      <c r="G84" s="52">
        <v>0</v>
      </c>
      <c r="H84" s="51">
        <f>ROUND(F84*G84,2)</f>
        <v>0</v>
      </c>
      <c r="J84" s="41"/>
      <c r="Z84" s="51">
        <f>ROUND(IF(AQ84="5",BJ84,0),2)</f>
        <v>0</v>
      </c>
      <c r="AB84" s="51">
        <f>ROUND(IF(AQ84="1",BH84,0),2)</f>
        <v>0</v>
      </c>
      <c r="AC84" s="51">
        <f>ROUND(IF(AQ84="1",BI84,0),2)</f>
        <v>0</v>
      </c>
      <c r="AD84" s="51">
        <f>ROUND(IF(AQ84="7",BH84,0),2)</f>
        <v>0</v>
      </c>
      <c r="AE84" s="51">
        <f>ROUND(IF(AQ84="7",BI84,0),2)</f>
        <v>0</v>
      </c>
      <c r="AF84" s="51">
        <f>ROUND(IF(AQ84="2",BH84,0),2)</f>
        <v>0</v>
      </c>
      <c r="AG84" s="51">
        <f>ROUND(IF(AQ84="2",BI84,0),2)</f>
        <v>0</v>
      </c>
      <c r="AH84" s="51">
        <f>ROUND(IF(AQ84="0",BJ84,0),2)</f>
        <v>0</v>
      </c>
      <c r="AI84" s="35" t="s">
        <v>4</v>
      </c>
      <c r="AJ84" s="51">
        <f>IF(AN84=0,H84,0)</f>
        <v>0</v>
      </c>
      <c r="AK84" s="51">
        <f>IF(AN84=12,H84,0)</f>
        <v>0</v>
      </c>
      <c r="AL84" s="51">
        <f>IF(AN84=21,H84,0)</f>
        <v>0</v>
      </c>
      <c r="AN84" s="51">
        <v>12</v>
      </c>
      <c r="AO84" s="51">
        <f>G84*0</f>
        <v>0</v>
      </c>
      <c r="AP84" s="51">
        <f>G84*(1-0)</f>
        <v>0</v>
      </c>
      <c r="AQ84" s="53" t="s">
        <v>111</v>
      </c>
      <c r="AV84" s="51">
        <f>ROUND(AW84+AX84,2)</f>
        <v>0</v>
      </c>
      <c r="AW84" s="51">
        <f>ROUND(F84*AO84,2)</f>
        <v>0</v>
      </c>
      <c r="AX84" s="51">
        <f>ROUND(F84*AP84,2)</f>
        <v>0</v>
      </c>
      <c r="AY84" s="53" t="s">
        <v>262</v>
      </c>
      <c r="AZ84" s="53" t="s">
        <v>239</v>
      </c>
      <c r="BA84" s="35" t="s">
        <v>117</v>
      </c>
      <c r="BC84" s="51">
        <f>AW84+AX84</f>
        <v>0</v>
      </c>
      <c r="BD84" s="51">
        <f>G84/(100-BE84)*100</f>
        <v>0</v>
      </c>
      <c r="BE84" s="51">
        <v>0</v>
      </c>
      <c r="BF84" s="51">
        <f>84</f>
        <v>84</v>
      </c>
      <c r="BH84" s="51">
        <f>F84*AO84</f>
        <v>0</v>
      </c>
      <c r="BI84" s="51">
        <f>F84*AP84</f>
        <v>0</v>
      </c>
      <c r="BJ84" s="51">
        <f>F84*G84</f>
        <v>0</v>
      </c>
      <c r="BK84" s="53" t="s">
        <v>118</v>
      </c>
      <c r="BL84" s="51">
        <v>96</v>
      </c>
      <c r="BW84" s="51">
        <v>12</v>
      </c>
      <c r="BX84" s="3" t="s">
        <v>261</v>
      </c>
    </row>
    <row r="85" spans="1:76">
      <c r="A85" s="1" t="s">
        <v>263</v>
      </c>
      <c r="B85" s="2" t="s">
        <v>264</v>
      </c>
      <c r="C85" s="75" t="s">
        <v>265</v>
      </c>
      <c r="D85" s="70"/>
      <c r="E85" s="2" t="s">
        <v>124</v>
      </c>
      <c r="F85" s="51">
        <v>2.95</v>
      </c>
      <c r="G85" s="52">
        <v>0</v>
      </c>
      <c r="H85" s="51">
        <f>ROUND(F85*G85,2)</f>
        <v>0</v>
      </c>
      <c r="J85" s="41"/>
      <c r="Z85" s="51">
        <f>ROUND(IF(AQ85="5",BJ85,0),2)</f>
        <v>0</v>
      </c>
      <c r="AB85" s="51">
        <f>ROUND(IF(AQ85="1",BH85,0),2)</f>
        <v>0</v>
      </c>
      <c r="AC85" s="51">
        <f>ROUND(IF(AQ85="1",BI85,0),2)</f>
        <v>0</v>
      </c>
      <c r="AD85" s="51">
        <f>ROUND(IF(AQ85="7",BH85,0),2)</f>
        <v>0</v>
      </c>
      <c r="AE85" s="51">
        <f>ROUND(IF(AQ85="7",BI85,0),2)</f>
        <v>0</v>
      </c>
      <c r="AF85" s="51">
        <f>ROUND(IF(AQ85="2",BH85,0),2)</f>
        <v>0</v>
      </c>
      <c r="AG85" s="51">
        <f>ROUND(IF(AQ85="2",BI85,0),2)</f>
        <v>0</v>
      </c>
      <c r="AH85" s="51">
        <f>ROUND(IF(AQ85="0",BJ85,0),2)</f>
        <v>0</v>
      </c>
      <c r="AI85" s="35" t="s">
        <v>4</v>
      </c>
      <c r="AJ85" s="51">
        <f>IF(AN85=0,H85,0)</f>
        <v>0</v>
      </c>
      <c r="AK85" s="51">
        <f>IF(AN85=12,H85,0)</f>
        <v>0</v>
      </c>
      <c r="AL85" s="51">
        <f>IF(AN85=21,H85,0)</f>
        <v>0</v>
      </c>
      <c r="AN85" s="51">
        <v>12</v>
      </c>
      <c r="AO85" s="51">
        <f>G85*0</f>
        <v>0</v>
      </c>
      <c r="AP85" s="51">
        <f>G85*(1-0)</f>
        <v>0</v>
      </c>
      <c r="AQ85" s="53" t="s">
        <v>111</v>
      </c>
      <c r="AV85" s="51">
        <f>ROUND(AW85+AX85,2)</f>
        <v>0</v>
      </c>
      <c r="AW85" s="51">
        <f>ROUND(F85*AO85,2)</f>
        <v>0</v>
      </c>
      <c r="AX85" s="51">
        <f>ROUND(F85*AP85,2)</f>
        <v>0</v>
      </c>
      <c r="AY85" s="53" t="s">
        <v>262</v>
      </c>
      <c r="AZ85" s="53" t="s">
        <v>239</v>
      </c>
      <c r="BA85" s="35" t="s">
        <v>117</v>
      </c>
      <c r="BC85" s="51">
        <f>AW85+AX85</f>
        <v>0</v>
      </c>
      <c r="BD85" s="51">
        <f>G85/(100-BE85)*100</f>
        <v>0</v>
      </c>
      <c r="BE85" s="51">
        <v>0</v>
      </c>
      <c r="BF85" s="51">
        <f>85</f>
        <v>85</v>
      </c>
      <c r="BH85" s="51">
        <f>F85*AO85</f>
        <v>0</v>
      </c>
      <c r="BI85" s="51">
        <f>F85*AP85</f>
        <v>0</v>
      </c>
      <c r="BJ85" s="51">
        <f>F85*G85</f>
        <v>0</v>
      </c>
      <c r="BK85" s="53" t="s">
        <v>118</v>
      </c>
      <c r="BL85" s="51">
        <v>96</v>
      </c>
      <c r="BW85" s="51">
        <v>12</v>
      </c>
      <c r="BX85" s="3" t="s">
        <v>265</v>
      </c>
    </row>
    <row r="86" spans="1:76">
      <c r="A86" s="1" t="s">
        <v>266</v>
      </c>
      <c r="B86" s="2" t="s">
        <v>267</v>
      </c>
      <c r="C86" s="75" t="s">
        <v>268</v>
      </c>
      <c r="D86" s="70"/>
      <c r="E86" s="2" t="s">
        <v>124</v>
      </c>
      <c r="F86" s="51">
        <v>1.65</v>
      </c>
      <c r="G86" s="52">
        <v>0</v>
      </c>
      <c r="H86" s="51">
        <f>ROUND(F86*G86,2)</f>
        <v>0</v>
      </c>
      <c r="J86" s="41"/>
      <c r="Z86" s="51">
        <f>ROUND(IF(AQ86="5",BJ86,0),2)</f>
        <v>0</v>
      </c>
      <c r="AB86" s="51">
        <f>ROUND(IF(AQ86="1",BH86,0),2)</f>
        <v>0</v>
      </c>
      <c r="AC86" s="51">
        <f>ROUND(IF(AQ86="1",BI86,0),2)</f>
        <v>0</v>
      </c>
      <c r="AD86" s="51">
        <f>ROUND(IF(AQ86="7",BH86,0),2)</f>
        <v>0</v>
      </c>
      <c r="AE86" s="51">
        <f>ROUND(IF(AQ86="7",BI86,0),2)</f>
        <v>0</v>
      </c>
      <c r="AF86" s="51">
        <f>ROUND(IF(AQ86="2",BH86,0),2)</f>
        <v>0</v>
      </c>
      <c r="AG86" s="51">
        <f>ROUND(IF(AQ86="2",BI86,0),2)</f>
        <v>0</v>
      </c>
      <c r="AH86" s="51">
        <f>ROUND(IF(AQ86="0",BJ86,0),2)</f>
        <v>0</v>
      </c>
      <c r="AI86" s="35" t="s">
        <v>4</v>
      </c>
      <c r="AJ86" s="51">
        <f>IF(AN86=0,H86,0)</f>
        <v>0</v>
      </c>
      <c r="AK86" s="51">
        <f>IF(AN86=12,H86,0)</f>
        <v>0</v>
      </c>
      <c r="AL86" s="51">
        <f>IF(AN86=21,H86,0)</f>
        <v>0</v>
      </c>
      <c r="AN86" s="51">
        <v>12</v>
      </c>
      <c r="AO86" s="51">
        <f>G86*0.087720258</f>
        <v>0</v>
      </c>
      <c r="AP86" s="51">
        <f>G86*(1-0.087720258)</f>
        <v>0</v>
      </c>
      <c r="AQ86" s="53" t="s">
        <v>111</v>
      </c>
      <c r="AV86" s="51">
        <f>ROUND(AW86+AX86,2)</f>
        <v>0</v>
      </c>
      <c r="AW86" s="51">
        <f>ROUND(F86*AO86,2)</f>
        <v>0</v>
      </c>
      <c r="AX86" s="51">
        <f>ROUND(F86*AP86,2)</f>
        <v>0</v>
      </c>
      <c r="AY86" s="53" t="s">
        <v>262</v>
      </c>
      <c r="AZ86" s="53" t="s">
        <v>239</v>
      </c>
      <c r="BA86" s="35" t="s">
        <v>117</v>
      </c>
      <c r="BC86" s="51">
        <f>AW86+AX86</f>
        <v>0</v>
      </c>
      <c r="BD86" s="51">
        <f>G86/(100-BE86)*100</f>
        <v>0</v>
      </c>
      <c r="BE86" s="51">
        <v>0</v>
      </c>
      <c r="BF86" s="51">
        <f>86</f>
        <v>86</v>
      </c>
      <c r="BH86" s="51">
        <f>F86*AO86</f>
        <v>0</v>
      </c>
      <c r="BI86" s="51">
        <f>F86*AP86</f>
        <v>0</v>
      </c>
      <c r="BJ86" s="51">
        <f>F86*G86</f>
        <v>0</v>
      </c>
      <c r="BK86" s="53" t="s">
        <v>118</v>
      </c>
      <c r="BL86" s="51">
        <v>96</v>
      </c>
      <c r="BW86" s="51">
        <v>12</v>
      </c>
      <c r="BX86" s="3" t="s">
        <v>268</v>
      </c>
    </row>
    <row r="87" spans="1:76">
      <c r="A87" s="54"/>
      <c r="C87" s="56" t="s">
        <v>269</v>
      </c>
      <c r="D87" s="57" t="s">
        <v>4</v>
      </c>
      <c r="F87" s="58">
        <v>1.65</v>
      </c>
      <c r="J87" s="41"/>
    </row>
    <row r="88" spans="1:76">
      <c r="A88" s="1" t="s">
        <v>270</v>
      </c>
      <c r="B88" s="2" t="s">
        <v>271</v>
      </c>
      <c r="C88" s="75" t="s">
        <v>272</v>
      </c>
      <c r="D88" s="70"/>
      <c r="E88" s="2" t="s">
        <v>251</v>
      </c>
      <c r="F88" s="51">
        <v>1</v>
      </c>
      <c r="G88" s="52">
        <v>0</v>
      </c>
      <c r="H88" s="51">
        <f>ROUND(F88*G88,2)</f>
        <v>0</v>
      </c>
      <c r="J88" s="41"/>
      <c r="Z88" s="51">
        <f>ROUND(IF(AQ88="5",BJ88,0),2)</f>
        <v>0</v>
      </c>
      <c r="AB88" s="51">
        <f>ROUND(IF(AQ88="1",BH88,0),2)</f>
        <v>0</v>
      </c>
      <c r="AC88" s="51">
        <f>ROUND(IF(AQ88="1",BI88,0),2)</f>
        <v>0</v>
      </c>
      <c r="AD88" s="51">
        <f>ROUND(IF(AQ88="7",BH88,0),2)</f>
        <v>0</v>
      </c>
      <c r="AE88" s="51">
        <f>ROUND(IF(AQ88="7",BI88,0),2)</f>
        <v>0</v>
      </c>
      <c r="AF88" s="51">
        <f>ROUND(IF(AQ88="2",BH88,0),2)</f>
        <v>0</v>
      </c>
      <c r="AG88" s="51">
        <f>ROUND(IF(AQ88="2",BI88,0),2)</f>
        <v>0</v>
      </c>
      <c r="AH88" s="51">
        <f>ROUND(IF(AQ88="0",BJ88,0),2)</f>
        <v>0</v>
      </c>
      <c r="AI88" s="35" t="s">
        <v>4</v>
      </c>
      <c r="AJ88" s="51">
        <f>IF(AN88=0,H88,0)</f>
        <v>0</v>
      </c>
      <c r="AK88" s="51">
        <f>IF(AN88=12,H88,0)</f>
        <v>0</v>
      </c>
      <c r="AL88" s="51">
        <f>IF(AN88=21,H88,0)</f>
        <v>0</v>
      </c>
      <c r="AN88" s="51">
        <v>12</v>
      </c>
      <c r="AO88" s="51">
        <f>G88*0.147197391</f>
        <v>0</v>
      </c>
      <c r="AP88" s="51">
        <f>G88*(1-0.147197391)</f>
        <v>0</v>
      </c>
      <c r="AQ88" s="53" t="s">
        <v>111</v>
      </c>
      <c r="AV88" s="51">
        <f>ROUND(AW88+AX88,2)</f>
        <v>0</v>
      </c>
      <c r="AW88" s="51">
        <f>ROUND(F88*AO88,2)</f>
        <v>0</v>
      </c>
      <c r="AX88" s="51">
        <f>ROUND(F88*AP88,2)</f>
        <v>0</v>
      </c>
      <c r="AY88" s="53" t="s">
        <v>262</v>
      </c>
      <c r="AZ88" s="53" t="s">
        <v>239</v>
      </c>
      <c r="BA88" s="35" t="s">
        <v>117</v>
      </c>
      <c r="BC88" s="51">
        <f>AW88+AX88</f>
        <v>0</v>
      </c>
      <c r="BD88" s="51">
        <f>G88/(100-BE88)*100</f>
        <v>0</v>
      </c>
      <c r="BE88" s="51">
        <v>0</v>
      </c>
      <c r="BF88" s="51">
        <f>88</f>
        <v>88</v>
      </c>
      <c r="BH88" s="51">
        <f>F88*AO88</f>
        <v>0</v>
      </c>
      <c r="BI88" s="51">
        <f>F88*AP88</f>
        <v>0</v>
      </c>
      <c r="BJ88" s="51">
        <f>F88*G88</f>
        <v>0</v>
      </c>
      <c r="BK88" s="53" t="s">
        <v>118</v>
      </c>
      <c r="BL88" s="51">
        <v>96</v>
      </c>
      <c r="BW88" s="51">
        <v>12</v>
      </c>
      <c r="BX88" s="3" t="s">
        <v>272</v>
      </c>
    </row>
    <row r="89" spans="1:76">
      <c r="A89" s="1" t="s">
        <v>273</v>
      </c>
      <c r="B89" s="2" t="s">
        <v>274</v>
      </c>
      <c r="C89" s="75" t="s">
        <v>275</v>
      </c>
      <c r="D89" s="70"/>
      <c r="E89" s="2" t="s">
        <v>124</v>
      </c>
      <c r="F89" s="51">
        <v>35.159999999999997</v>
      </c>
      <c r="G89" s="52">
        <v>0</v>
      </c>
      <c r="H89" s="51">
        <f>ROUND(F89*G89,2)</f>
        <v>0</v>
      </c>
      <c r="J89" s="41"/>
      <c r="Z89" s="51">
        <f>ROUND(IF(AQ89="5",BJ89,0),2)</f>
        <v>0</v>
      </c>
      <c r="AB89" s="51">
        <f>ROUND(IF(AQ89="1",BH89,0),2)</f>
        <v>0</v>
      </c>
      <c r="AC89" s="51">
        <f>ROUND(IF(AQ89="1",BI89,0),2)</f>
        <v>0</v>
      </c>
      <c r="AD89" s="51">
        <f>ROUND(IF(AQ89="7",BH89,0),2)</f>
        <v>0</v>
      </c>
      <c r="AE89" s="51">
        <f>ROUND(IF(AQ89="7",BI89,0),2)</f>
        <v>0</v>
      </c>
      <c r="AF89" s="51">
        <f>ROUND(IF(AQ89="2",BH89,0),2)</f>
        <v>0</v>
      </c>
      <c r="AG89" s="51">
        <f>ROUND(IF(AQ89="2",BI89,0),2)</f>
        <v>0</v>
      </c>
      <c r="AH89" s="51">
        <f>ROUND(IF(AQ89="0",BJ89,0),2)</f>
        <v>0</v>
      </c>
      <c r="AI89" s="35" t="s">
        <v>4</v>
      </c>
      <c r="AJ89" s="51">
        <f>IF(AN89=0,H89,0)</f>
        <v>0</v>
      </c>
      <c r="AK89" s="51">
        <f>IF(AN89=12,H89,0)</f>
        <v>0</v>
      </c>
      <c r="AL89" s="51">
        <f>IF(AN89=21,H89,0)</f>
        <v>0</v>
      </c>
      <c r="AN89" s="51">
        <v>12</v>
      </c>
      <c r="AO89" s="51">
        <f>G89*0</f>
        <v>0</v>
      </c>
      <c r="AP89" s="51">
        <f>G89*(1-0)</f>
        <v>0</v>
      </c>
      <c r="AQ89" s="53" t="s">
        <v>111</v>
      </c>
      <c r="AV89" s="51">
        <f>ROUND(AW89+AX89,2)</f>
        <v>0</v>
      </c>
      <c r="AW89" s="51">
        <f>ROUND(F89*AO89,2)</f>
        <v>0</v>
      </c>
      <c r="AX89" s="51">
        <f>ROUND(F89*AP89,2)</f>
        <v>0</v>
      </c>
      <c r="AY89" s="53" t="s">
        <v>262</v>
      </c>
      <c r="AZ89" s="53" t="s">
        <v>239</v>
      </c>
      <c r="BA89" s="35" t="s">
        <v>117</v>
      </c>
      <c r="BC89" s="51">
        <f>AW89+AX89</f>
        <v>0</v>
      </c>
      <c r="BD89" s="51">
        <f>G89/(100-BE89)*100</f>
        <v>0</v>
      </c>
      <c r="BE89" s="51">
        <v>0</v>
      </c>
      <c r="BF89" s="51">
        <f>89</f>
        <v>89</v>
      </c>
      <c r="BH89" s="51">
        <f>F89*AO89</f>
        <v>0</v>
      </c>
      <c r="BI89" s="51">
        <f>F89*AP89</f>
        <v>0</v>
      </c>
      <c r="BJ89" s="51">
        <f>F89*G89</f>
        <v>0</v>
      </c>
      <c r="BK89" s="53" t="s">
        <v>118</v>
      </c>
      <c r="BL89" s="51">
        <v>96</v>
      </c>
      <c r="BW89" s="51">
        <v>12</v>
      </c>
      <c r="BX89" s="3" t="s">
        <v>275</v>
      </c>
    </row>
    <row r="90" spans="1:76">
      <c r="A90" s="54"/>
      <c r="C90" s="56" t="s">
        <v>276</v>
      </c>
      <c r="D90" s="57" t="s">
        <v>277</v>
      </c>
      <c r="F90" s="58">
        <v>35.159999999999997</v>
      </c>
      <c r="J90" s="41"/>
    </row>
    <row r="91" spans="1:76">
      <c r="A91" s="1" t="s">
        <v>278</v>
      </c>
      <c r="B91" s="2" t="s">
        <v>279</v>
      </c>
      <c r="C91" s="75" t="s">
        <v>280</v>
      </c>
      <c r="D91" s="70"/>
      <c r="E91" s="2" t="s">
        <v>281</v>
      </c>
      <c r="F91" s="51">
        <v>1.732</v>
      </c>
      <c r="G91" s="52">
        <v>0</v>
      </c>
      <c r="H91" s="51">
        <f>ROUND(F91*G91,2)</f>
        <v>0</v>
      </c>
      <c r="J91" s="41"/>
      <c r="Z91" s="51">
        <f>ROUND(IF(AQ91="5",BJ91,0),2)</f>
        <v>0</v>
      </c>
      <c r="AB91" s="51">
        <f>ROUND(IF(AQ91="1",BH91,0),2)</f>
        <v>0</v>
      </c>
      <c r="AC91" s="51">
        <f>ROUND(IF(AQ91="1",BI91,0),2)</f>
        <v>0</v>
      </c>
      <c r="AD91" s="51">
        <f>ROUND(IF(AQ91="7",BH91,0),2)</f>
        <v>0</v>
      </c>
      <c r="AE91" s="51">
        <f>ROUND(IF(AQ91="7",BI91,0),2)</f>
        <v>0</v>
      </c>
      <c r="AF91" s="51">
        <f>ROUND(IF(AQ91="2",BH91,0),2)</f>
        <v>0</v>
      </c>
      <c r="AG91" s="51">
        <f>ROUND(IF(AQ91="2",BI91,0),2)</f>
        <v>0</v>
      </c>
      <c r="AH91" s="51">
        <f>ROUND(IF(AQ91="0",BJ91,0),2)</f>
        <v>0</v>
      </c>
      <c r="AI91" s="35" t="s">
        <v>4</v>
      </c>
      <c r="AJ91" s="51">
        <f>IF(AN91=0,H91,0)</f>
        <v>0</v>
      </c>
      <c r="AK91" s="51">
        <f>IF(AN91=12,H91,0)</f>
        <v>0</v>
      </c>
      <c r="AL91" s="51">
        <f>IF(AN91=21,H91,0)</f>
        <v>0</v>
      </c>
      <c r="AN91" s="51">
        <v>12</v>
      </c>
      <c r="AO91" s="51">
        <f>G91*0</f>
        <v>0</v>
      </c>
      <c r="AP91" s="51">
        <f>G91*(1-0)</f>
        <v>0</v>
      </c>
      <c r="AQ91" s="53" t="s">
        <v>137</v>
      </c>
      <c r="AV91" s="51">
        <f>ROUND(AW91+AX91,2)</f>
        <v>0</v>
      </c>
      <c r="AW91" s="51">
        <f>ROUND(F91*AO91,2)</f>
        <v>0</v>
      </c>
      <c r="AX91" s="51">
        <f>ROUND(F91*AP91,2)</f>
        <v>0</v>
      </c>
      <c r="AY91" s="53" t="s">
        <v>262</v>
      </c>
      <c r="AZ91" s="53" t="s">
        <v>239</v>
      </c>
      <c r="BA91" s="35" t="s">
        <v>117</v>
      </c>
      <c r="BC91" s="51">
        <f>AW91+AX91</f>
        <v>0</v>
      </c>
      <c r="BD91" s="51">
        <f>G91/(100-BE91)*100</f>
        <v>0</v>
      </c>
      <c r="BE91" s="51">
        <v>0</v>
      </c>
      <c r="BF91" s="51">
        <f>91</f>
        <v>91</v>
      </c>
      <c r="BH91" s="51">
        <f>F91*AO91</f>
        <v>0</v>
      </c>
      <c r="BI91" s="51">
        <f>F91*AP91</f>
        <v>0</v>
      </c>
      <c r="BJ91" s="51">
        <f>F91*G91</f>
        <v>0</v>
      </c>
      <c r="BK91" s="53" t="s">
        <v>118</v>
      </c>
      <c r="BL91" s="51">
        <v>96</v>
      </c>
      <c r="BW91" s="51">
        <v>12</v>
      </c>
      <c r="BX91" s="3" t="s">
        <v>280</v>
      </c>
    </row>
    <row r="92" spans="1:76">
      <c r="A92" s="1" t="s">
        <v>109</v>
      </c>
      <c r="B92" s="2" t="s">
        <v>282</v>
      </c>
      <c r="C92" s="75" t="s">
        <v>283</v>
      </c>
      <c r="D92" s="70"/>
      <c r="E92" s="2" t="s">
        <v>281</v>
      </c>
      <c r="F92" s="51">
        <v>1.732</v>
      </c>
      <c r="G92" s="52">
        <v>0</v>
      </c>
      <c r="H92" s="51">
        <f>ROUND(F92*G92,2)</f>
        <v>0</v>
      </c>
      <c r="J92" s="41"/>
      <c r="Z92" s="51">
        <f>ROUND(IF(AQ92="5",BJ92,0),2)</f>
        <v>0</v>
      </c>
      <c r="AB92" s="51">
        <f>ROUND(IF(AQ92="1",BH92,0),2)</f>
        <v>0</v>
      </c>
      <c r="AC92" s="51">
        <f>ROUND(IF(AQ92="1",BI92,0),2)</f>
        <v>0</v>
      </c>
      <c r="AD92" s="51">
        <f>ROUND(IF(AQ92="7",BH92,0),2)</f>
        <v>0</v>
      </c>
      <c r="AE92" s="51">
        <f>ROUND(IF(AQ92="7",BI92,0),2)</f>
        <v>0</v>
      </c>
      <c r="AF92" s="51">
        <f>ROUND(IF(AQ92="2",BH92,0),2)</f>
        <v>0</v>
      </c>
      <c r="AG92" s="51">
        <f>ROUND(IF(AQ92="2",BI92,0),2)</f>
        <v>0</v>
      </c>
      <c r="AH92" s="51">
        <f>ROUND(IF(AQ92="0",BJ92,0),2)</f>
        <v>0</v>
      </c>
      <c r="AI92" s="35" t="s">
        <v>4</v>
      </c>
      <c r="AJ92" s="51">
        <f>IF(AN92=0,H92,0)</f>
        <v>0</v>
      </c>
      <c r="AK92" s="51">
        <f>IF(AN92=12,H92,0)</f>
        <v>0</v>
      </c>
      <c r="AL92" s="51">
        <f>IF(AN92=21,H92,0)</f>
        <v>0</v>
      </c>
      <c r="AN92" s="51">
        <v>12</v>
      </c>
      <c r="AO92" s="51">
        <f>G92*0</f>
        <v>0</v>
      </c>
      <c r="AP92" s="51">
        <f>G92*(1-0)</f>
        <v>0</v>
      </c>
      <c r="AQ92" s="53" t="s">
        <v>137</v>
      </c>
      <c r="AV92" s="51">
        <f>ROUND(AW92+AX92,2)</f>
        <v>0</v>
      </c>
      <c r="AW92" s="51">
        <f>ROUND(F92*AO92,2)</f>
        <v>0</v>
      </c>
      <c r="AX92" s="51">
        <f>ROUND(F92*AP92,2)</f>
        <v>0</v>
      </c>
      <c r="AY92" s="53" t="s">
        <v>262</v>
      </c>
      <c r="AZ92" s="53" t="s">
        <v>239</v>
      </c>
      <c r="BA92" s="35" t="s">
        <v>117</v>
      </c>
      <c r="BC92" s="51">
        <f>AW92+AX92</f>
        <v>0</v>
      </c>
      <c r="BD92" s="51">
        <f>G92/(100-BE92)*100</f>
        <v>0</v>
      </c>
      <c r="BE92" s="51">
        <v>0</v>
      </c>
      <c r="BF92" s="51">
        <f>92</f>
        <v>92</v>
      </c>
      <c r="BH92" s="51">
        <f>F92*AO92</f>
        <v>0</v>
      </c>
      <c r="BI92" s="51">
        <f>F92*AP92</f>
        <v>0</v>
      </c>
      <c r="BJ92" s="51">
        <f>F92*G92</f>
        <v>0</v>
      </c>
      <c r="BK92" s="53" t="s">
        <v>118</v>
      </c>
      <c r="BL92" s="51">
        <v>96</v>
      </c>
      <c r="BW92" s="51">
        <v>12</v>
      </c>
      <c r="BX92" s="3" t="s">
        <v>283</v>
      </c>
    </row>
    <row r="93" spans="1:76">
      <c r="A93" s="1" t="s">
        <v>284</v>
      </c>
      <c r="B93" s="2" t="s">
        <v>285</v>
      </c>
      <c r="C93" s="75" t="s">
        <v>286</v>
      </c>
      <c r="D93" s="70"/>
      <c r="E93" s="2" t="s">
        <v>281</v>
      </c>
      <c r="F93" s="51">
        <v>2.5379999999999998</v>
      </c>
      <c r="G93" s="52">
        <v>0</v>
      </c>
      <c r="H93" s="51">
        <f>ROUND(F93*G93,2)</f>
        <v>0</v>
      </c>
      <c r="J93" s="41"/>
      <c r="Z93" s="51">
        <f>ROUND(IF(AQ93="5",BJ93,0),2)</f>
        <v>0</v>
      </c>
      <c r="AB93" s="51">
        <f>ROUND(IF(AQ93="1",BH93,0),2)</f>
        <v>0</v>
      </c>
      <c r="AC93" s="51">
        <f>ROUND(IF(AQ93="1",BI93,0),2)</f>
        <v>0</v>
      </c>
      <c r="AD93" s="51">
        <f>ROUND(IF(AQ93="7",BH93,0),2)</f>
        <v>0</v>
      </c>
      <c r="AE93" s="51">
        <f>ROUND(IF(AQ93="7",BI93,0),2)</f>
        <v>0</v>
      </c>
      <c r="AF93" s="51">
        <f>ROUND(IF(AQ93="2",BH93,0),2)</f>
        <v>0</v>
      </c>
      <c r="AG93" s="51">
        <f>ROUND(IF(AQ93="2",BI93,0),2)</f>
        <v>0</v>
      </c>
      <c r="AH93" s="51">
        <f>ROUND(IF(AQ93="0",BJ93,0),2)</f>
        <v>0</v>
      </c>
      <c r="AI93" s="35" t="s">
        <v>4</v>
      </c>
      <c r="AJ93" s="51">
        <f>IF(AN93=0,H93,0)</f>
        <v>0</v>
      </c>
      <c r="AK93" s="51">
        <f>IF(AN93=12,H93,0)</f>
        <v>0</v>
      </c>
      <c r="AL93" s="51">
        <f>IF(AN93=21,H93,0)</f>
        <v>0</v>
      </c>
      <c r="AN93" s="51">
        <v>12</v>
      </c>
      <c r="AO93" s="51">
        <f>G93*0</f>
        <v>0</v>
      </c>
      <c r="AP93" s="51">
        <f>G93*(1-0)</f>
        <v>0</v>
      </c>
      <c r="AQ93" s="53" t="s">
        <v>137</v>
      </c>
      <c r="AV93" s="51">
        <f>ROUND(AW93+AX93,2)</f>
        <v>0</v>
      </c>
      <c r="AW93" s="51">
        <f>ROUND(F93*AO93,2)</f>
        <v>0</v>
      </c>
      <c r="AX93" s="51">
        <f>ROUND(F93*AP93,2)</f>
        <v>0</v>
      </c>
      <c r="AY93" s="53" t="s">
        <v>262</v>
      </c>
      <c r="AZ93" s="53" t="s">
        <v>239</v>
      </c>
      <c r="BA93" s="35" t="s">
        <v>117</v>
      </c>
      <c r="BC93" s="51">
        <f>AW93+AX93</f>
        <v>0</v>
      </c>
      <c r="BD93" s="51">
        <f>G93/(100-BE93)*100</f>
        <v>0</v>
      </c>
      <c r="BE93" s="51">
        <v>0</v>
      </c>
      <c r="BF93" s="51">
        <f>93</f>
        <v>93</v>
      </c>
      <c r="BH93" s="51">
        <f>F93*AO93</f>
        <v>0</v>
      </c>
      <c r="BI93" s="51">
        <f>F93*AP93</f>
        <v>0</v>
      </c>
      <c r="BJ93" s="51">
        <f>F93*G93</f>
        <v>0</v>
      </c>
      <c r="BK93" s="53" t="s">
        <v>118</v>
      </c>
      <c r="BL93" s="51">
        <v>96</v>
      </c>
      <c r="BW93" s="51">
        <v>12</v>
      </c>
      <c r="BX93" s="3" t="s">
        <v>286</v>
      </c>
    </row>
    <row r="94" spans="1:76">
      <c r="A94" s="1" t="s">
        <v>287</v>
      </c>
      <c r="B94" s="2" t="s">
        <v>288</v>
      </c>
      <c r="C94" s="75" t="s">
        <v>289</v>
      </c>
      <c r="D94" s="70"/>
      <c r="E94" s="2" t="s">
        <v>281</v>
      </c>
      <c r="F94" s="51">
        <v>7.6139999999999999</v>
      </c>
      <c r="G94" s="52">
        <v>0</v>
      </c>
      <c r="H94" s="51">
        <f>ROUND(F94*G94,2)</f>
        <v>0</v>
      </c>
      <c r="J94" s="41"/>
      <c r="Z94" s="51">
        <f>ROUND(IF(AQ94="5",BJ94,0),2)</f>
        <v>0</v>
      </c>
      <c r="AB94" s="51">
        <f>ROUND(IF(AQ94="1",BH94,0),2)</f>
        <v>0</v>
      </c>
      <c r="AC94" s="51">
        <f>ROUND(IF(AQ94="1",BI94,0),2)</f>
        <v>0</v>
      </c>
      <c r="AD94" s="51">
        <f>ROUND(IF(AQ94="7",BH94,0),2)</f>
        <v>0</v>
      </c>
      <c r="AE94" s="51">
        <f>ROUND(IF(AQ94="7",BI94,0),2)</f>
        <v>0</v>
      </c>
      <c r="AF94" s="51">
        <f>ROUND(IF(AQ94="2",BH94,0),2)</f>
        <v>0</v>
      </c>
      <c r="AG94" s="51">
        <f>ROUND(IF(AQ94="2",BI94,0),2)</f>
        <v>0</v>
      </c>
      <c r="AH94" s="51">
        <f>ROUND(IF(AQ94="0",BJ94,0),2)</f>
        <v>0</v>
      </c>
      <c r="AI94" s="35" t="s">
        <v>4</v>
      </c>
      <c r="AJ94" s="51">
        <f>IF(AN94=0,H94,0)</f>
        <v>0</v>
      </c>
      <c r="AK94" s="51">
        <f>IF(AN94=12,H94,0)</f>
        <v>0</v>
      </c>
      <c r="AL94" s="51">
        <f>IF(AN94=21,H94,0)</f>
        <v>0</v>
      </c>
      <c r="AN94" s="51">
        <v>12</v>
      </c>
      <c r="AO94" s="51">
        <f>G94*0</f>
        <v>0</v>
      </c>
      <c r="AP94" s="51">
        <f>G94*(1-0)</f>
        <v>0</v>
      </c>
      <c r="AQ94" s="53" t="s">
        <v>137</v>
      </c>
      <c r="AV94" s="51">
        <f>ROUND(AW94+AX94,2)</f>
        <v>0</v>
      </c>
      <c r="AW94" s="51">
        <f>ROUND(F94*AO94,2)</f>
        <v>0</v>
      </c>
      <c r="AX94" s="51">
        <f>ROUND(F94*AP94,2)</f>
        <v>0</v>
      </c>
      <c r="AY94" s="53" t="s">
        <v>262</v>
      </c>
      <c r="AZ94" s="53" t="s">
        <v>239</v>
      </c>
      <c r="BA94" s="35" t="s">
        <v>117</v>
      </c>
      <c r="BC94" s="51">
        <f>AW94+AX94</f>
        <v>0</v>
      </c>
      <c r="BD94" s="51">
        <f>G94/(100-BE94)*100</f>
        <v>0</v>
      </c>
      <c r="BE94" s="51">
        <v>0</v>
      </c>
      <c r="BF94" s="51">
        <f>94</f>
        <v>94</v>
      </c>
      <c r="BH94" s="51">
        <f>F94*AO94</f>
        <v>0</v>
      </c>
      <c r="BI94" s="51">
        <f>F94*AP94</f>
        <v>0</v>
      </c>
      <c r="BJ94" s="51">
        <f>F94*G94</f>
        <v>0</v>
      </c>
      <c r="BK94" s="53" t="s">
        <v>118</v>
      </c>
      <c r="BL94" s="51">
        <v>96</v>
      </c>
      <c r="BW94" s="51">
        <v>12</v>
      </c>
      <c r="BX94" s="3" t="s">
        <v>289</v>
      </c>
    </row>
    <row r="95" spans="1:76">
      <c r="A95" s="54"/>
      <c r="C95" s="56" t="s">
        <v>290</v>
      </c>
      <c r="D95" s="57" t="s">
        <v>4</v>
      </c>
      <c r="F95" s="58">
        <v>7.6139999999999999</v>
      </c>
      <c r="J95" s="41"/>
    </row>
    <row r="96" spans="1:76">
      <c r="A96" s="1" t="s">
        <v>291</v>
      </c>
      <c r="B96" s="2" t="s">
        <v>292</v>
      </c>
      <c r="C96" s="75" t="s">
        <v>293</v>
      </c>
      <c r="D96" s="70"/>
      <c r="E96" s="2" t="s">
        <v>281</v>
      </c>
      <c r="F96" s="51">
        <v>2.5379999999999998</v>
      </c>
      <c r="G96" s="52">
        <v>0</v>
      </c>
      <c r="H96" s="51">
        <f>ROUND(F96*G96,2)</f>
        <v>0</v>
      </c>
      <c r="J96" s="41"/>
      <c r="Z96" s="51">
        <f>ROUND(IF(AQ96="5",BJ96,0),2)</f>
        <v>0</v>
      </c>
      <c r="AB96" s="51">
        <f>ROUND(IF(AQ96="1",BH96,0),2)</f>
        <v>0</v>
      </c>
      <c r="AC96" s="51">
        <f>ROUND(IF(AQ96="1",BI96,0),2)</f>
        <v>0</v>
      </c>
      <c r="AD96" s="51">
        <f>ROUND(IF(AQ96="7",BH96,0),2)</f>
        <v>0</v>
      </c>
      <c r="AE96" s="51">
        <f>ROUND(IF(AQ96="7",BI96,0),2)</f>
        <v>0</v>
      </c>
      <c r="AF96" s="51">
        <f>ROUND(IF(AQ96="2",BH96,0),2)</f>
        <v>0</v>
      </c>
      <c r="AG96" s="51">
        <f>ROUND(IF(AQ96="2",BI96,0),2)</f>
        <v>0</v>
      </c>
      <c r="AH96" s="51">
        <f>ROUND(IF(AQ96="0",BJ96,0),2)</f>
        <v>0</v>
      </c>
      <c r="AI96" s="35" t="s">
        <v>4</v>
      </c>
      <c r="AJ96" s="51">
        <f>IF(AN96=0,H96,0)</f>
        <v>0</v>
      </c>
      <c r="AK96" s="51">
        <f>IF(AN96=12,H96,0)</f>
        <v>0</v>
      </c>
      <c r="AL96" s="51">
        <f>IF(AN96=21,H96,0)</f>
        <v>0</v>
      </c>
      <c r="AN96" s="51">
        <v>12</v>
      </c>
      <c r="AO96" s="51">
        <f>G96*0</f>
        <v>0</v>
      </c>
      <c r="AP96" s="51">
        <f>G96*(1-0)</f>
        <v>0</v>
      </c>
      <c r="AQ96" s="53" t="s">
        <v>137</v>
      </c>
      <c r="AV96" s="51">
        <f>ROUND(AW96+AX96,2)</f>
        <v>0</v>
      </c>
      <c r="AW96" s="51">
        <f>ROUND(F96*AO96,2)</f>
        <v>0</v>
      </c>
      <c r="AX96" s="51">
        <f>ROUND(F96*AP96,2)</f>
        <v>0</v>
      </c>
      <c r="AY96" s="53" t="s">
        <v>262</v>
      </c>
      <c r="AZ96" s="53" t="s">
        <v>239</v>
      </c>
      <c r="BA96" s="35" t="s">
        <v>117</v>
      </c>
      <c r="BC96" s="51">
        <f>AW96+AX96</f>
        <v>0</v>
      </c>
      <c r="BD96" s="51">
        <f>G96/(100-BE96)*100</f>
        <v>0</v>
      </c>
      <c r="BE96" s="51">
        <v>0</v>
      </c>
      <c r="BF96" s="51">
        <f>96</f>
        <v>96</v>
      </c>
      <c r="BH96" s="51">
        <f>F96*AO96</f>
        <v>0</v>
      </c>
      <c r="BI96" s="51">
        <f>F96*AP96</f>
        <v>0</v>
      </c>
      <c r="BJ96" s="51">
        <f>F96*G96</f>
        <v>0</v>
      </c>
      <c r="BK96" s="53" t="s">
        <v>118</v>
      </c>
      <c r="BL96" s="51">
        <v>96</v>
      </c>
      <c r="BW96" s="51">
        <v>12</v>
      </c>
      <c r="BX96" s="3" t="s">
        <v>293</v>
      </c>
    </row>
    <row r="97" spans="1:76">
      <c r="A97" s="1" t="s">
        <v>294</v>
      </c>
      <c r="B97" s="2" t="s">
        <v>295</v>
      </c>
      <c r="C97" s="75" t="s">
        <v>296</v>
      </c>
      <c r="D97" s="70"/>
      <c r="E97" s="2" t="s">
        <v>281</v>
      </c>
      <c r="F97" s="51">
        <v>10.151999999999999</v>
      </c>
      <c r="G97" s="52">
        <v>0</v>
      </c>
      <c r="H97" s="51">
        <f>ROUND(F97*G97,2)</f>
        <v>0</v>
      </c>
      <c r="J97" s="41"/>
      <c r="Z97" s="51">
        <f>ROUND(IF(AQ97="5",BJ97,0),2)</f>
        <v>0</v>
      </c>
      <c r="AB97" s="51">
        <f>ROUND(IF(AQ97="1",BH97,0),2)</f>
        <v>0</v>
      </c>
      <c r="AC97" s="51">
        <f>ROUND(IF(AQ97="1",BI97,0),2)</f>
        <v>0</v>
      </c>
      <c r="AD97" s="51">
        <f>ROUND(IF(AQ97="7",BH97,0),2)</f>
        <v>0</v>
      </c>
      <c r="AE97" s="51">
        <f>ROUND(IF(AQ97="7",BI97,0),2)</f>
        <v>0</v>
      </c>
      <c r="AF97" s="51">
        <f>ROUND(IF(AQ97="2",BH97,0),2)</f>
        <v>0</v>
      </c>
      <c r="AG97" s="51">
        <f>ROUND(IF(AQ97="2",BI97,0),2)</f>
        <v>0</v>
      </c>
      <c r="AH97" s="51">
        <f>ROUND(IF(AQ97="0",BJ97,0),2)</f>
        <v>0</v>
      </c>
      <c r="AI97" s="35" t="s">
        <v>4</v>
      </c>
      <c r="AJ97" s="51">
        <f>IF(AN97=0,H97,0)</f>
        <v>0</v>
      </c>
      <c r="AK97" s="51">
        <f>IF(AN97=12,H97,0)</f>
        <v>0</v>
      </c>
      <c r="AL97" s="51">
        <f>IF(AN97=21,H97,0)</f>
        <v>0</v>
      </c>
      <c r="AN97" s="51">
        <v>12</v>
      </c>
      <c r="AO97" s="51">
        <f>G97*0</f>
        <v>0</v>
      </c>
      <c r="AP97" s="51">
        <f>G97*(1-0)</f>
        <v>0</v>
      </c>
      <c r="AQ97" s="53" t="s">
        <v>137</v>
      </c>
      <c r="AV97" s="51">
        <f>ROUND(AW97+AX97,2)</f>
        <v>0</v>
      </c>
      <c r="AW97" s="51">
        <f>ROUND(F97*AO97,2)</f>
        <v>0</v>
      </c>
      <c r="AX97" s="51">
        <f>ROUND(F97*AP97,2)</f>
        <v>0</v>
      </c>
      <c r="AY97" s="53" t="s">
        <v>262</v>
      </c>
      <c r="AZ97" s="53" t="s">
        <v>239</v>
      </c>
      <c r="BA97" s="35" t="s">
        <v>117</v>
      </c>
      <c r="BC97" s="51">
        <f>AW97+AX97</f>
        <v>0</v>
      </c>
      <c r="BD97" s="51">
        <f>G97/(100-BE97)*100</f>
        <v>0</v>
      </c>
      <c r="BE97" s="51">
        <v>0</v>
      </c>
      <c r="BF97" s="51">
        <f>97</f>
        <v>97</v>
      </c>
      <c r="BH97" s="51">
        <f>F97*AO97</f>
        <v>0</v>
      </c>
      <c r="BI97" s="51">
        <f>F97*AP97</f>
        <v>0</v>
      </c>
      <c r="BJ97" s="51">
        <f>F97*G97</f>
        <v>0</v>
      </c>
      <c r="BK97" s="53" t="s">
        <v>118</v>
      </c>
      <c r="BL97" s="51">
        <v>96</v>
      </c>
      <c r="BW97" s="51">
        <v>12</v>
      </c>
      <c r="BX97" s="3" t="s">
        <v>296</v>
      </c>
    </row>
    <row r="98" spans="1:76">
      <c r="A98" s="54"/>
      <c r="C98" s="56" t="s">
        <v>297</v>
      </c>
      <c r="D98" s="57" t="s">
        <v>4</v>
      </c>
      <c r="F98" s="58">
        <v>10.151999999999999</v>
      </c>
      <c r="J98" s="41"/>
    </row>
    <row r="99" spans="1:76">
      <c r="A99" s="1" t="s">
        <v>298</v>
      </c>
      <c r="B99" s="2" t="s">
        <v>299</v>
      </c>
      <c r="C99" s="75" t="s">
        <v>300</v>
      </c>
      <c r="D99" s="70"/>
      <c r="E99" s="2" t="s">
        <v>281</v>
      </c>
      <c r="F99" s="51">
        <v>2.3029999999999999</v>
      </c>
      <c r="G99" s="52">
        <v>0</v>
      </c>
      <c r="H99" s="51">
        <f>ROUND(F99*G99,2)</f>
        <v>0</v>
      </c>
      <c r="J99" s="41"/>
      <c r="Z99" s="51">
        <f>ROUND(IF(AQ99="5",BJ99,0),2)</f>
        <v>0</v>
      </c>
      <c r="AB99" s="51">
        <f>ROUND(IF(AQ99="1",BH99,0),2)</f>
        <v>0</v>
      </c>
      <c r="AC99" s="51">
        <f>ROUND(IF(AQ99="1",BI99,0),2)</f>
        <v>0</v>
      </c>
      <c r="AD99" s="51">
        <f>ROUND(IF(AQ99="7",BH99,0),2)</f>
        <v>0</v>
      </c>
      <c r="AE99" s="51">
        <f>ROUND(IF(AQ99="7",BI99,0),2)</f>
        <v>0</v>
      </c>
      <c r="AF99" s="51">
        <f>ROUND(IF(AQ99="2",BH99,0),2)</f>
        <v>0</v>
      </c>
      <c r="AG99" s="51">
        <f>ROUND(IF(AQ99="2",BI99,0),2)</f>
        <v>0</v>
      </c>
      <c r="AH99" s="51">
        <f>ROUND(IF(AQ99="0",BJ99,0),2)</f>
        <v>0</v>
      </c>
      <c r="AI99" s="35" t="s">
        <v>4</v>
      </c>
      <c r="AJ99" s="51">
        <f>IF(AN99=0,H99,0)</f>
        <v>0</v>
      </c>
      <c r="AK99" s="51">
        <f>IF(AN99=12,H99,0)</f>
        <v>0</v>
      </c>
      <c r="AL99" s="51">
        <f>IF(AN99=21,H99,0)</f>
        <v>0</v>
      </c>
      <c r="AN99" s="51">
        <v>12</v>
      </c>
      <c r="AO99" s="51">
        <f>G99*0</f>
        <v>0</v>
      </c>
      <c r="AP99" s="51">
        <f>G99*(1-0)</f>
        <v>0</v>
      </c>
      <c r="AQ99" s="53" t="s">
        <v>137</v>
      </c>
      <c r="AV99" s="51">
        <f>ROUND(AW99+AX99,2)</f>
        <v>0</v>
      </c>
      <c r="AW99" s="51">
        <f>ROUND(F99*AO99,2)</f>
        <v>0</v>
      </c>
      <c r="AX99" s="51">
        <f>ROUND(F99*AP99,2)</f>
        <v>0</v>
      </c>
      <c r="AY99" s="53" t="s">
        <v>262</v>
      </c>
      <c r="AZ99" s="53" t="s">
        <v>239</v>
      </c>
      <c r="BA99" s="35" t="s">
        <v>117</v>
      </c>
      <c r="BC99" s="51">
        <f>AW99+AX99</f>
        <v>0</v>
      </c>
      <c r="BD99" s="51">
        <f>G99/(100-BE99)*100</f>
        <v>0</v>
      </c>
      <c r="BE99" s="51">
        <v>0</v>
      </c>
      <c r="BF99" s="51">
        <f>99</f>
        <v>99</v>
      </c>
      <c r="BH99" s="51">
        <f>F99*AO99</f>
        <v>0</v>
      </c>
      <c r="BI99" s="51">
        <f>F99*AP99</f>
        <v>0</v>
      </c>
      <c r="BJ99" s="51">
        <f>F99*G99</f>
        <v>0</v>
      </c>
      <c r="BK99" s="53" t="s">
        <v>118</v>
      </c>
      <c r="BL99" s="51">
        <v>96</v>
      </c>
      <c r="BW99" s="51">
        <v>12</v>
      </c>
      <c r="BX99" s="3" t="s">
        <v>300</v>
      </c>
    </row>
    <row r="100" spans="1:76">
      <c r="A100" s="54"/>
      <c r="C100" s="56" t="s">
        <v>301</v>
      </c>
      <c r="D100" s="57" t="s">
        <v>4</v>
      </c>
      <c r="F100" s="58">
        <v>2.3029999999999999</v>
      </c>
      <c r="J100" s="41"/>
    </row>
    <row r="101" spans="1:76">
      <c r="A101" s="1" t="s">
        <v>302</v>
      </c>
      <c r="B101" s="2" t="s">
        <v>303</v>
      </c>
      <c r="C101" s="75" t="s">
        <v>304</v>
      </c>
      <c r="D101" s="70"/>
      <c r="E101" s="2" t="s">
        <v>281</v>
      </c>
      <c r="F101" s="51">
        <v>0.23499999999999999</v>
      </c>
      <c r="G101" s="52">
        <v>0</v>
      </c>
      <c r="H101" s="51">
        <f>ROUND(F101*G101,2)</f>
        <v>0</v>
      </c>
      <c r="J101" s="41"/>
      <c r="Z101" s="51">
        <f>ROUND(IF(AQ101="5",BJ101,0),2)</f>
        <v>0</v>
      </c>
      <c r="AB101" s="51">
        <f>ROUND(IF(AQ101="1",BH101,0),2)</f>
        <v>0</v>
      </c>
      <c r="AC101" s="51">
        <f>ROUND(IF(AQ101="1",BI101,0),2)</f>
        <v>0</v>
      </c>
      <c r="AD101" s="51">
        <f>ROUND(IF(AQ101="7",BH101,0),2)</f>
        <v>0</v>
      </c>
      <c r="AE101" s="51">
        <f>ROUND(IF(AQ101="7",BI101,0),2)</f>
        <v>0</v>
      </c>
      <c r="AF101" s="51">
        <f>ROUND(IF(AQ101="2",BH101,0),2)</f>
        <v>0</v>
      </c>
      <c r="AG101" s="51">
        <f>ROUND(IF(AQ101="2",BI101,0),2)</f>
        <v>0</v>
      </c>
      <c r="AH101" s="51">
        <f>ROUND(IF(AQ101="0",BJ101,0),2)</f>
        <v>0</v>
      </c>
      <c r="AI101" s="35" t="s">
        <v>4</v>
      </c>
      <c r="AJ101" s="51">
        <f>IF(AN101=0,H101,0)</f>
        <v>0</v>
      </c>
      <c r="AK101" s="51">
        <f>IF(AN101=12,H101,0)</f>
        <v>0</v>
      </c>
      <c r="AL101" s="51">
        <f>IF(AN101=21,H101,0)</f>
        <v>0</v>
      </c>
      <c r="AN101" s="51">
        <v>12</v>
      </c>
      <c r="AO101" s="51">
        <f>G101*0</f>
        <v>0</v>
      </c>
      <c r="AP101" s="51">
        <f>G101*(1-0)</f>
        <v>0</v>
      </c>
      <c r="AQ101" s="53" t="s">
        <v>137</v>
      </c>
      <c r="AV101" s="51">
        <f>ROUND(AW101+AX101,2)</f>
        <v>0</v>
      </c>
      <c r="AW101" s="51">
        <f>ROUND(F101*AO101,2)</f>
        <v>0</v>
      </c>
      <c r="AX101" s="51">
        <f>ROUND(F101*AP101,2)</f>
        <v>0</v>
      </c>
      <c r="AY101" s="53" t="s">
        <v>262</v>
      </c>
      <c r="AZ101" s="53" t="s">
        <v>239</v>
      </c>
      <c r="BA101" s="35" t="s">
        <v>117</v>
      </c>
      <c r="BC101" s="51">
        <f>AW101+AX101</f>
        <v>0</v>
      </c>
      <c r="BD101" s="51">
        <f>G101/(100-BE101)*100</f>
        <v>0</v>
      </c>
      <c r="BE101" s="51">
        <v>0</v>
      </c>
      <c r="BF101" s="51">
        <f>101</f>
        <v>101</v>
      </c>
      <c r="BH101" s="51">
        <f>F101*AO101</f>
        <v>0</v>
      </c>
      <c r="BI101" s="51">
        <f>F101*AP101</f>
        <v>0</v>
      </c>
      <c r="BJ101" s="51">
        <f>F101*G101</f>
        <v>0</v>
      </c>
      <c r="BK101" s="53" t="s">
        <v>118</v>
      </c>
      <c r="BL101" s="51">
        <v>96</v>
      </c>
      <c r="BW101" s="51">
        <v>12</v>
      </c>
      <c r="BX101" s="3" t="s">
        <v>304</v>
      </c>
    </row>
    <row r="102" spans="1:76">
      <c r="A102" s="54"/>
      <c r="C102" s="56" t="s">
        <v>305</v>
      </c>
      <c r="D102" s="57" t="s">
        <v>306</v>
      </c>
      <c r="F102" s="58">
        <v>0.187</v>
      </c>
      <c r="J102" s="41"/>
    </row>
    <row r="103" spans="1:76">
      <c r="A103" s="54"/>
      <c r="C103" s="56" t="s">
        <v>307</v>
      </c>
      <c r="D103" s="57" t="s">
        <v>308</v>
      </c>
      <c r="F103" s="58">
        <v>4.8000000000000001E-2</v>
      </c>
      <c r="J103" s="41"/>
    </row>
    <row r="104" spans="1:76">
      <c r="A104" s="47" t="s">
        <v>4</v>
      </c>
      <c r="B104" s="48" t="s">
        <v>309</v>
      </c>
      <c r="C104" s="150" t="s">
        <v>310</v>
      </c>
      <c r="D104" s="151"/>
      <c r="E104" s="49" t="s">
        <v>79</v>
      </c>
      <c r="F104" s="49" t="s">
        <v>79</v>
      </c>
      <c r="G104" s="50" t="s">
        <v>79</v>
      </c>
      <c r="H104" s="28">
        <f>SUM(H105:H105)</f>
        <v>0</v>
      </c>
      <c r="J104" s="41"/>
      <c r="AI104" s="35" t="s">
        <v>4</v>
      </c>
      <c r="AS104" s="28">
        <f>SUM(AJ105:AJ105)</f>
        <v>0</v>
      </c>
      <c r="AT104" s="28">
        <f>SUM(AK105:AK105)</f>
        <v>0</v>
      </c>
      <c r="AU104" s="28">
        <f>SUM(AL105:AL105)</f>
        <v>0</v>
      </c>
    </row>
    <row r="105" spans="1:76">
      <c r="A105" s="1" t="s">
        <v>311</v>
      </c>
      <c r="B105" s="2" t="s">
        <v>312</v>
      </c>
      <c r="C105" s="75" t="s">
        <v>313</v>
      </c>
      <c r="D105" s="70"/>
      <c r="E105" s="2" t="s">
        <v>281</v>
      </c>
      <c r="F105" s="51">
        <v>8.5809999999999995</v>
      </c>
      <c r="G105" s="52">
        <v>0</v>
      </c>
      <c r="H105" s="51">
        <f>ROUND(F105*G105,2)</f>
        <v>0</v>
      </c>
      <c r="J105" s="41"/>
      <c r="Z105" s="51">
        <f>ROUND(IF(AQ105="5",BJ105,0),2)</f>
        <v>0</v>
      </c>
      <c r="AB105" s="51">
        <f>ROUND(IF(AQ105="1",BH105,0),2)</f>
        <v>0</v>
      </c>
      <c r="AC105" s="51">
        <f>ROUND(IF(AQ105="1",BI105,0),2)</f>
        <v>0</v>
      </c>
      <c r="AD105" s="51">
        <f>ROUND(IF(AQ105="7",BH105,0),2)</f>
        <v>0</v>
      </c>
      <c r="AE105" s="51">
        <f>ROUND(IF(AQ105="7",BI105,0),2)</f>
        <v>0</v>
      </c>
      <c r="AF105" s="51">
        <f>ROUND(IF(AQ105="2",BH105,0),2)</f>
        <v>0</v>
      </c>
      <c r="AG105" s="51">
        <f>ROUND(IF(AQ105="2",BI105,0),2)</f>
        <v>0</v>
      </c>
      <c r="AH105" s="51">
        <f>ROUND(IF(AQ105="0",BJ105,0),2)</f>
        <v>0</v>
      </c>
      <c r="AI105" s="35" t="s">
        <v>4</v>
      </c>
      <c r="AJ105" s="51">
        <f>IF(AN105=0,H105,0)</f>
        <v>0</v>
      </c>
      <c r="AK105" s="51">
        <f>IF(AN105=12,H105,0)</f>
        <v>0</v>
      </c>
      <c r="AL105" s="51">
        <f>IF(AN105=21,H105,0)</f>
        <v>0</v>
      </c>
      <c r="AN105" s="51">
        <v>12</v>
      </c>
      <c r="AO105" s="51">
        <f>G105*0</f>
        <v>0</v>
      </c>
      <c r="AP105" s="51">
        <f>G105*(1-0)</f>
        <v>0</v>
      </c>
      <c r="AQ105" s="53" t="s">
        <v>137</v>
      </c>
      <c r="AV105" s="51">
        <f>ROUND(AW105+AX105,2)</f>
        <v>0</v>
      </c>
      <c r="AW105" s="51">
        <f>ROUND(F105*AO105,2)</f>
        <v>0</v>
      </c>
      <c r="AX105" s="51">
        <f>ROUND(F105*AP105,2)</f>
        <v>0</v>
      </c>
      <c r="AY105" s="53" t="s">
        <v>314</v>
      </c>
      <c r="AZ105" s="53" t="s">
        <v>239</v>
      </c>
      <c r="BA105" s="35" t="s">
        <v>117</v>
      </c>
      <c r="BC105" s="51">
        <f>AW105+AX105</f>
        <v>0</v>
      </c>
      <c r="BD105" s="51">
        <f>G105/(100-BE105)*100</f>
        <v>0</v>
      </c>
      <c r="BE105" s="51">
        <v>0</v>
      </c>
      <c r="BF105" s="51">
        <f>105</f>
        <v>105</v>
      </c>
      <c r="BH105" s="51">
        <f>F105*AO105</f>
        <v>0</v>
      </c>
      <c r="BI105" s="51">
        <f>F105*AP105</f>
        <v>0</v>
      </c>
      <c r="BJ105" s="51">
        <f>F105*G105</f>
        <v>0</v>
      </c>
      <c r="BK105" s="53" t="s">
        <v>118</v>
      </c>
      <c r="BL105" s="51">
        <v>99</v>
      </c>
      <c r="BW105" s="51">
        <v>12</v>
      </c>
      <c r="BX105" s="3" t="s">
        <v>313</v>
      </c>
    </row>
    <row r="106" spans="1:76">
      <c r="A106" s="47" t="s">
        <v>4</v>
      </c>
      <c r="B106" s="48" t="s">
        <v>315</v>
      </c>
      <c r="C106" s="150" t="s">
        <v>316</v>
      </c>
      <c r="D106" s="151"/>
      <c r="E106" s="49" t="s">
        <v>79</v>
      </c>
      <c r="F106" s="49" t="s">
        <v>79</v>
      </c>
      <c r="G106" s="50" t="s">
        <v>79</v>
      </c>
      <c r="H106" s="28">
        <f>SUM(H107:H117)</f>
        <v>0</v>
      </c>
      <c r="J106" s="41"/>
      <c r="AI106" s="35" t="s">
        <v>4</v>
      </c>
      <c r="AS106" s="28">
        <f>SUM(AJ107:AJ117)</f>
        <v>0</v>
      </c>
      <c r="AT106" s="28">
        <f>SUM(AK107:AK117)</f>
        <v>0</v>
      </c>
      <c r="AU106" s="28">
        <f>SUM(AL107:AL117)</f>
        <v>0</v>
      </c>
    </row>
    <row r="107" spans="1:76">
      <c r="A107" s="1" t="s">
        <v>317</v>
      </c>
      <c r="B107" s="2" t="s">
        <v>318</v>
      </c>
      <c r="C107" s="75" t="s">
        <v>319</v>
      </c>
      <c r="D107" s="70"/>
      <c r="E107" s="2" t="s">
        <v>124</v>
      </c>
      <c r="F107" s="51">
        <v>8.9649999999999999</v>
      </c>
      <c r="G107" s="52">
        <v>0</v>
      </c>
      <c r="H107" s="51">
        <f>ROUND(F107*G107,2)</f>
        <v>0</v>
      </c>
      <c r="J107" s="41"/>
      <c r="Z107" s="51">
        <f>ROUND(IF(AQ107="5",BJ107,0),2)</f>
        <v>0</v>
      </c>
      <c r="AB107" s="51">
        <f>ROUND(IF(AQ107="1",BH107,0),2)</f>
        <v>0</v>
      </c>
      <c r="AC107" s="51">
        <f>ROUND(IF(AQ107="1",BI107,0),2)</f>
        <v>0</v>
      </c>
      <c r="AD107" s="51">
        <f>ROUND(IF(AQ107="7",BH107,0),2)</f>
        <v>0</v>
      </c>
      <c r="AE107" s="51">
        <f>ROUND(IF(AQ107="7",BI107,0),2)</f>
        <v>0</v>
      </c>
      <c r="AF107" s="51">
        <f>ROUND(IF(AQ107="2",BH107,0),2)</f>
        <v>0</v>
      </c>
      <c r="AG107" s="51">
        <f>ROUND(IF(AQ107="2",BI107,0),2)</f>
        <v>0</v>
      </c>
      <c r="AH107" s="51">
        <f>ROUND(IF(AQ107="0",BJ107,0),2)</f>
        <v>0</v>
      </c>
      <c r="AI107" s="35" t="s">
        <v>4</v>
      </c>
      <c r="AJ107" s="51">
        <f>IF(AN107=0,H107,0)</f>
        <v>0</v>
      </c>
      <c r="AK107" s="51">
        <f>IF(AN107=12,H107,0)</f>
        <v>0</v>
      </c>
      <c r="AL107" s="51">
        <f>IF(AN107=21,H107,0)</f>
        <v>0</v>
      </c>
      <c r="AN107" s="51">
        <v>12</v>
      </c>
      <c r="AO107" s="51">
        <f>G107*0.296156221</f>
        <v>0</v>
      </c>
      <c r="AP107" s="51">
        <f>G107*(1-0.296156221)</f>
        <v>0</v>
      </c>
      <c r="AQ107" s="53" t="s">
        <v>148</v>
      </c>
      <c r="AV107" s="51">
        <f>ROUND(AW107+AX107,2)</f>
        <v>0</v>
      </c>
      <c r="AW107" s="51">
        <f>ROUND(F107*AO107,2)</f>
        <v>0</v>
      </c>
      <c r="AX107" s="51">
        <f>ROUND(F107*AP107,2)</f>
        <v>0</v>
      </c>
      <c r="AY107" s="53" t="s">
        <v>320</v>
      </c>
      <c r="AZ107" s="53" t="s">
        <v>321</v>
      </c>
      <c r="BA107" s="35" t="s">
        <v>117</v>
      </c>
      <c r="BC107" s="51">
        <f>AW107+AX107</f>
        <v>0</v>
      </c>
      <c r="BD107" s="51">
        <f>G107/(100-BE107)*100</f>
        <v>0</v>
      </c>
      <c r="BE107" s="51">
        <v>0</v>
      </c>
      <c r="BF107" s="51">
        <f>107</f>
        <v>107</v>
      </c>
      <c r="BH107" s="51">
        <f>F107*AO107</f>
        <v>0</v>
      </c>
      <c r="BI107" s="51">
        <f>F107*AP107</f>
        <v>0</v>
      </c>
      <c r="BJ107" s="51">
        <f>F107*G107</f>
        <v>0</v>
      </c>
      <c r="BK107" s="53" t="s">
        <v>118</v>
      </c>
      <c r="BL107" s="51">
        <v>711</v>
      </c>
      <c r="BW107" s="51">
        <v>12</v>
      </c>
      <c r="BX107" s="3" t="s">
        <v>319</v>
      </c>
    </row>
    <row r="108" spans="1:76">
      <c r="A108" s="1" t="s">
        <v>322</v>
      </c>
      <c r="B108" s="2" t="s">
        <v>323</v>
      </c>
      <c r="C108" s="75" t="s">
        <v>324</v>
      </c>
      <c r="D108" s="70"/>
      <c r="E108" s="2" t="s">
        <v>124</v>
      </c>
      <c r="F108" s="51">
        <v>8.9649999999999999</v>
      </c>
      <c r="G108" s="52">
        <v>0</v>
      </c>
      <c r="H108" s="51">
        <f>ROUND(F108*G108,2)</f>
        <v>0</v>
      </c>
      <c r="J108" s="41"/>
      <c r="Z108" s="51">
        <f>ROUND(IF(AQ108="5",BJ108,0),2)</f>
        <v>0</v>
      </c>
      <c r="AB108" s="51">
        <f>ROUND(IF(AQ108="1",BH108,0),2)</f>
        <v>0</v>
      </c>
      <c r="AC108" s="51">
        <f>ROUND(IF(AQ108="1",BI108,0),2)</f>
        <v>0</v>
      </c>
      <c r="AD108" s="51">
        <f>ROUND(IF(AQ108="7",BH108,0),2)</f>
        <v>0</v>
      </c>
      <c r="AE108" s="51">
        <f>ROUND(IF(AQ108="7",BI108,0),2)</f>
        <v>0</v>
      </c>
      <c r="AF108" s="51">
        <f>ROUND(IF(AQ108="2",BH108,0),2)</f>
        <v>0</v>
      </c>
      <c r="AG108" s="51">
        <f>ROUND(IF(AQ108="2",BI108,0),2)</f>
        <v>0</v>
      </c>
      <c r="AH108" s="51">
        <f>ROUND(IF(AQ108="0",BJ108,0),2)</f>
        <v>0</v>
      </c>
      <c r="AI108" s="35" t="s">
        <v>4</v>
      </c>
      <c r="AJ108" s="51">
        <f>IF(AN108=0,H108,0)</f>
        <v>0</v>
      </c>
      <c r="AK108" s="51">
        <f>IF(AN108=12,H108,0)</f>
        <v>0</v>
      </c>
      <c r="AL108" s="51">
        <f>IF(AN108=21,H108,0)</f>
        <v>0</v>
      </c>
      <c r="AN108" s="51">
        <v>12</v>
      </c>
      <c r="AO108" s="51">
        <f>G108*0.614857081</f>
        <v>0</v>
      </c>
      <c r="AP108" s="51">
        <f>G108*(1-0.614857081)</f>
        <v>0</v>
      </c>
      <c r="AQ108" s="53" t="s">
        <v>148</v>
      </c>
      <c r="AV108" s="51">
        <f>ROUND(AW108+AX108,2)</f>
        <v>0</v>
      </c>
      <c r="AW108" s="51">
        <f>ROUND(F108*AO108,2)</f>
        <v>0</v>
      </c>
      <c r="AX108" s="51">
        <f>ROUND(F108*AP108,2)</f>
        <v>0</v>
      </c>
      <c r="AY108" s="53" t="s">
        <v>320</v>
      </c>
      <c r="AZ108" s="53" t="s">
        <v>321</v>
      </c>
      <c r="BA108" s="35" t="s">
        <v>117</v>
      </c>
      <c r="BC108" s="51">
        <f>AW108+AX108</f>
        <v>0</v>
      </c>
      <c r="BD108" s="51">
        <f>G108/(100-BE108)*100</f>
        <v>0</v>
      </c>
      <c r="BE108" s="51">
        <v>0</v>
      </c>
      <c r="BF108" s="51">
        <f>108</f>
        <v>108</v>
      </c>
      <c r="BH108" s="51">
        <f>F108*AO108</f>
        <v>0</v>
      </c>
      <c r="BI108" s="51">
        <f>F108*AP108</f>
        <v>0</v>
      </c>
      <c r="BJ108" s="51">
        <f>F108*G108</f>
        <v>0</v>
      </c>
      <c r="BK108" s="53" t="s">
        <v>118</v>
      </c>
      <c r="BL108" s="51">
        <v>711</v>
      </c>
      <c r="BW108" s="51">
        <v>12</v>
      </c>
      <c r="BX108" s="3" t="s">
        <v>324</v>
      </c>
    </row>
    <row r="109" spans="1:76" ht="13.5" customHeight="1">
      <c r="A109" s="54"/>
      <c r="B109" s="55" t="s">
        <v>119</v>
      </c>
      <c r="C109" s="152" t="s">
        <v>325</v>
      </c>
      <c r="D109" s="153"/>
      <c r="E109" s="153"/>
      <c r="F109" s="153"/>
      <c r="G109" s="154"/>
      <c r="H109" s="153"/>
      <c r="I109" s="153"/>
      <c r="J109" s="155"/>
    </row>
    <row r="110" spans="1:76">
      <c r="A110" s="54"/>
      <c r="C110" s="56" t="s">
        <v>326</v>
      </c>
      <c r="D110" s="57" t="s">
        <v>327</v>
      </c>
      <c r="F110" s="58">
        <v>2.6349999999999998</v>
      </c>
      <c r="J110" s="41"/>
    </row>
    <row r="111" spans="1:76">
      <c r="A111" s="54"/>
      <c r="C111" s="56" t="s">
        <v>328</v>
      </c>
      <c r="D111" s="57" t="s">
        <v>329</v>
      </c>
      <c r="F111" s="58">
        <v>1.71</v>
      </c>
      <c r="J111" s="41"/>
    </row>
    <row r="112" spans="1:76">
      <c r="A112" s="54"/>
      <c r="C112" s="56" t="s">
        <v>330</v>
      </c>
      <c r="D112" s="57" t="s">
        <v>331</v>
      </c>
      <c r="F112" s="58">
        <v>4.62</v>
      </c>
      <c r="J112" s="41"/>
    </row>
    <row r="113" spans="1:76">
      <c r="A113" s="1" t="s">
        <v>332</v>
      </c>
      <c r="B113" s="2" t="s">
        <v>333</v>
      </c>
      <c r="C113" s="75" t="s">
        <v>334</v>
      </c>
      <c r="D113" s="70"/>
      <c r="E113" s="2" t="s">
        <v>140</v>
      </c>
      <c r="F113" s="51">
        <v>7.8</v>
      </c>
      <c r="G113" s="52">
        <v>0</v>
      </c>
      <c r="H113" s="51">
        <f>ROUND(F113*G113,2)</f>
        <v>0</v>
      </c>
      <c r="J113" s="41"/>
      <c r="Z113" s="51">
        <f>ROUND(IF(AQ113="5",BJ113,0),2)</f>
        <v>0</v>
      </c>
      <c r="AB113" s="51">
        <f>ROUND(IF(AQ113="1",BH113,0),2)</f>
        <v>0</v>
      </c>
      <c r="AC113" s="51">
        <f>ROUND(IF(AQ113="1",BI113,0),2)</f>
        <v>0</v>
      </c>
      <c r="AD113" s="51">
        <f>ROUND(IF(AQ113="7",BH113,0),2)</f>
        <v>0</v>
      </c>
      <c r="AE113" s="51">
        <f>ROUND(IF(AQ113="7",BI113,0),2)</f>
        <v>0</v>
      </c>
      <c r="AF113" s="51">
        <f>ROUND(IF(AQ113="2",BH113,0),2)</f>
        <v>0</v>
      </c>
      <c r="AG113" s="51">
        <f>ROUND(IF(AQ113="2",BI113,0),2)</f>
        <v>0</v>
      </c>
      <c r="AH113" s="51">
        <f>ROUND(IF(AQ113="0",BJ113,0),2)</f>
        <v>0</v>
      </c>
      <c r="AI113" s="35" t="s">
        <v>4</v>
      </c>
      <c r="AJ113" s="51">
        <f>IF(AN113=0,H113,0)</f>
        <v>0</v>
      </c>
      <c r="AK113" s="51">
        <f>IF(AN113=12,H113,0)</f>
        <v>0</v>
      </c>
      <c r="AL113" s="51">
        <f>IF(AN113=21,H113,0)</f>
        <v>0</v>
      </c>
      <c r="AN113" s="51">
        <v>12</v>
      </c>
      <c r="AO113" s="51">
        <f>G113*0.644056481</f>
        <v>0</v>
      </c>
      <c r="AP113" s="51">
        <f>G113*(1-0.644056481)</f>
        <v>0</v>
      </c>
      <c r="AQ113" s="53" t="s">
        <v>148</v>
      </c>
      <c r="AV113" s="51">
        <f>ROUND(AW113+AX113,2)</f>
        <v>0</v>
      </c>
      <c r="AW113" s="51">
        <f>ROUND(F113*AO113,2)</f>
        <v>0</v>
      </c>
      <c r="AX113" s="51">
        <f>ROUND(F113*AP113,2)</f>
        <v>0</v>
      </c>
      <c r="AY113" s="53" t="s">
        <v>320</v>
      </c>
      <c r="AZ113" s="53" t="s">
        <v>321</v>
      </c>
      <c r="BA113" s="35" t="s">
        <v>117</v>
      </c>
      <c r="BC113" s="51">
        <f>AW113+AX113</f>
        <v>0</v>
      </c>
      <c r="BD113" s="51">
        <f>G113/(100-BE113)*100</f>
        <v>0</v>
      </c>
      <c r="BE113" s="51">
        <v>0</v>
      </c>
      <c r="BF113" s="51">
        <f>113</f>
        <v>113</v>
      </c>
      <c r="BH113" s="51">
        <f>F113*AO113</f>
        <v>0</v>
      </c>
      <c r="BI113" s="51">
        <f>F113*AP113</f>
        <v>0</v>
      </c>
      <c r="BJ113" s="51">
        <f>F113*G113</f>
        <v>0</v>
      </c>
      <c r="BK113" s="53" t="s">
        <v>118</v>
      </c>
      <c r="BL113" s="51">
        <v>711</v>
      </c>
      <c r="BW113" s="51">
        <v>12</v>
      </c>
      <c r="BX113" s="3" t="s">
        <v>334</v>
      </c>
    </row>
    <row r="114" spans="1:76" ht="13.5" customHeight="1">
      <c r="A114" s="54"/>
      <c r="B114" s="55" t="s">
        <v>119</v>
      </c>
      <c r="C114" s="152" t="s">
        <v>335</v>
      </c>
      <c r="D114" s="153"/>
      <c r="E114" s="153"/>
      <c r="F114" s="153"/>
      <c r="G114" s="154"/>
      <c r="H114" s="153"/>
      <c r="I114" s="153"/>
      <c r="J114" s="155"/>
    </row>
    <row r="115" spans="1:76">
      <c r="A115" s="54"/>
      <c r="C115" s="56" t="s">
        <v>336</v>
      </c>
      <c r="D115" s="57" t="s">
        <v>337</v>
      </c>
      <c r="F115" s="58">
        <v>5.7</v>
      </c>
      <c r="J115" s="41"/>
    </row>
    <row r="116" spans="1:76">
      <c r="A116" s="54"/>
      <c r="C116" s="56" t="s">
        <v>338</v>
      </c>
      <c r="D116" s="57" t="s">
        <v>339</v>
      </c>
      <c r="F116" s="58">
        <v>2.1</v>
      </c>
      <c r="J116" s="41"/>
    </row>
    <row r="117" spans="1:76">
      <c r="A117" s="1" t="s">
        <v>340</v>
      </c>
      <c r="B117" s="2" t="s">
        <v>341</v>
      </c>
      <c r="C117" s="75" t="s">
        <v>342</v>
      </c>
      <c r="D117" s="70"/>
      <c r="E117" s="2" t="s">
        <v>281</v>
      </c>
      <c r="F117" s="51">
        <v>3.5000000000000003E-2</v>
      </c>
      <c r="G117" s="52">
        <v>0</v>
      </c>
      <c r="H117" s="51">
        <f>ROUND(F117*G117,2)</f>
        <v>0</v>
      </c>
      <c r="J117" s="41"/>
      <c r="Z117" s="51">
        <f>ROUND(IF(AQ117="5",BJ117,0),2)</f>
        <v>0</v>
      </c>
      <c r="AB117" s="51">
        <f>ROUND(IF(AQ117="1",BH117,0),2)</f>
        <v>0</v>
      </c>
      <c r="AC117" s="51">
        <f>ROUND(IF(AQ117="1",BI117,0),2)</f>
        <v>0</v>
      </c>
      <c r="AD117" s="51">
        <f>ROUND(IF(AQ117="7",BH117,0),2)</f>
        <v>0</v>
      </c>
      <c r="AE117" s="51">
        <f>ROUND(IF(AQ117="7",BI117,0),2)</f>
        <v>0</v>
      </c>
      <c r="AF117" s="51">
        <f>ROUND(IF(AQ117="2",BH117,0),2)</f>
        <v>0</v>
      </c>
      <c r="AG117" s="51">
        <f>ROUND(IF(AQ117="2",BI117,0),2)</f>
        <v>0</v>
      </c>
      <c r="AH117" s="51">
        <f>ROUND(IF(AQ117="0",BJ117,0),2)</f>
        <v>0</v>
      </c>
      <c r="AI117" s="35" t="s">
        <v>4</v>
      </c>
      <c r="AJ117" s="51">
        <f>IF(AN117=0,H117,0)</f>
        <v>0</v>
      </c>
      <c r="AK117" s="51">
        <f>IF(AN117=12,H117,0)</f>
        <v>0</v>
      </c>
      <c r="AL117" s="51">
        <f>IF(AN117=21,H117,0)</f>
        <v>0</v>
      </c>
      <c r="AN117" s="51">
        <v>12</v>
      </c>
      <c r="AO117" s="51">
        <f>G117*0</f>
        <v>0</v>
      </c>
      <c r="AP117" s="51">
        <f>G117*(1-0)</f>
        <v>0</v>
      </c>
      <c r="AQ117" s="53" t="s">
        <v>137</v>
      </c>
      <c r="AV117" s="51">
        <f>ROUND(AW117+AX117,2)</f>
        <v>0</v>
      </c>
      <c r="AW117" s="51">
        <f>ROUND(F117*AO117,2)</f>
        <v>0</v>
      </c>
      <c r="AX117" s="51">
        <f>ROUND(F117*AP117,2)</f>
        <v>0</v>
      </c>
      <c r="AY117" s="53" t="s">
        <v>320</v>
      </c>
      <c r="AZ117" s="53" t="s">
        <v>321</v>
      </c>
      <c r="BA117" s="35" t="s">
        <v>117</v>
      </c>
      <c r="BC117" s="51">
        <f>AW117+AX117</f>
        <v>0</v>
      </c>
      <c r="BD117" s="51">
        <f>G117/(100-BE117)*100</f>
        <v>0</v>
      </c>
      <c r="BE117" s="51">
        <v>0</v>
      </c>
      <c r="BF117" s="51">
        <f>117</f>
        <v>117</v>
      </c>
      <c r="BH117" s="51">
        <f>F117*AO117</f>
        <v>0</v>
      </c>
      <c r="BI117" s="51">
        <f>F117*AP117</f>
        <v>0</v>
      </c>
      <c r="BJ117" s="51">
        <f>F117*G117</f>
        <v>0</v>
      </c>
      <c r="BK117" s="53" t="s">
        <v>118</v>
      </c>
      <c r="BL117" s="51">
        <v>711</v>
      </c>
      <c r="BW117" s="51">
        <v>12</v>
      </c>
      <c r="BX117" s="3" t="s">
        <v>342</v>
      </c>
    </row>
    <row r="118" spans="1:76">
      <c r="A118" s="47" t="s">
        <v>4</v>
      </c>
      <c r="B118" s="48" t="s">
        <v>343</v>
      </c>
      <c r="C118" s="150" t="s">
        <v>344</v>
      </c>
      <c r="D118" s="151"/>
      <c r="E118" s="49" t="s">
        <v>79</v>
      </c>
      <c r="F118" s="49" t="s">
        <v>79</v>
      </c>
      <c r="G118" s="50" t="s">
        <v>79</v>
      </c>
      <c r="H118" s="28">
        <f>SUM(H119:H128)</f>
        <v>0</v>
      </c>
      <c r="J118" s="41"/>
      <c r="AI118" s="35" t="s">
        <v>4</v>
      </c>
      <c r="AS118" s="28">
        <f>SUM(AJ119:AJ128)</f>
        <v>0</v>
      </c>
      <c r="AT118" s="28">
        <f>SUM(AK119:AK128)</f>
        <v>0</v>
      </c>
      <c r="AU118" s="28">
        <f>SUM(AL119:AL128)</f>
        <v>0</v>
      </c>
    </row>
    <row r="119" spans="1:76" ht="25.5">
      <c r="A119" s="1" t="s">
        <v>345</v>
      </c>
      <c r="B119" s="2" t="s">
        <v>346</v>
      </c>
      <c r="C119" s="75" t="s">
        <v>347</v>
      </c>
      <c r="D119" s="70"/>
      <c r="E119" s="2" t="s">
        <v>114</v>
      </c>
      <c r="F119" s="51">
        <v>1</v>
      </c>
      <c r="G119" s="52">
        <v>0</v>
      </c>
      <c r="H119" s="51">
        <f t="shared" ref="H119:H128" si="0">ROUND(F119*G119,2)</f>
        <v>0</v>
      </c>
      <c r="J119" s="41"/>
      <c r="Z119" s="51">
        <f t="shared" ref="Z119:Z128" si="1">ROUND(IF(AQ119="5",BJ119,0),2)</f>
        <v>0</v>
      </c>
      <c r="AB119" s="51">
        <f t="shared" ref="AB119:AB128" si="2">ROUND(IF(AQ119="1",BH119,0),2)</f>
        <v>0</v>
      </c>
      <c r="AC119" s="51">
        <f t="shared" ref="AC119:AC128" si="3">ROUND(IF(AQ119="1",BI119,0),2)</f>
        <v>0</v>
      </c>
      <c r="AD119" s="51">
        <f t="shared" ref="AD119:AD128" si="4">ROUND(IF(AQ119="7",BH119,0),2)</f>
        <v>0</v>
      </c>
      <c r="AE119" s="51">
        <f t="shared" ref="AE119:AE128" si="5">ROUND(IF(AQ119="7",BI119,0),2)</f>
        <v>0</v>
      </c>
      <c r="AF119" s="51">
        <f t="shared" ref="AF119:AF128" si="6">ROUND(IF(AQ119="2",BH119,0),2)</f>
        <v>0</v>
      </c>
      <c r="AG119" s="51">
        <f t="shared" ref="AG119:AG128" si="7">ROUND(IF(AQ119="2",BI119,0),2)</f>
        <v>0</v>
      </c>
      <c r="AH119" s="51">
        <f t="shared" ref="AH119:AH128" si="8">ROUND(IF(AQ119="0",BJ119,0),2)</f>
        <v>0</v>
      </c>
      <c r="AI119" s="35" t="s">
        <v>4</v>
      </c>
      <c r="AJ119" s="51">
        <f t="shared" ref="AJ119:AJ128" si="9">IF(AN119=0,H119,0)</f>
        <v>0</v>
      </c>
      <c r="AK119" s="51">
        <f t="shared" ref="AK119:AK128" si="10">IF(AN119=12,H119,0)</f>
        <v>0</v>
      </c>
      <c r="AL119" s="51">
        <f t="shared" ref="AL119:AL128" si="11">IF(AN119=21,H119,0)</f>
        <v>0</v>
      </c>
      <c r="AN119" s="51">
        <v>12</v>
      </c>
      <c r="AO119" s="51">
        <f>G119*0.781812121</f>
        <v>0</v>
      </c>
      <c r="AP119" s="51">
        <f>G119*(1-0.781812121)</f>
        <v>0</v>
      </c>
      <c r="AQ119" s="53" t="s">
        <v>148</v>
      </c>
      <c r="AV119" s="51">
        <f t="shared" ref="AV119:AV128" si="12">ROUND(AW119+AX119,2)</f>
        <v>0</v>
      </c>
      <c r="AW119" s="51">
        <f t="shared" ref="AW119:AW128" si="13">ROUND(F119*AO119,2)</f>
        <v>0</v>
      </c>
      <c r="AX119" s="51">
        <f t="shared" ref="AX119:AX128" si="14">ROUND(F119*AP119,2)</f>
        <v>0</v>
      </c>
      <c r="AY119" s="53" t="s">
        <v>348</v>
      </c>
      <c r="AZ119" s="53" t="s">
        <v>349</v>
      </c>
      <c r="BA119" s="35" t="s">
        <v>117</v>
      </c>
      <c r="BC119" s="51">
        <f t="shared" ref="BC119:BC128" si="15">AW119+AX119</f>
        <v>0</v>
      </c>
      <c r="BD119" s="51">
        <f t="shared" ref="BD119:BD128" si="16">G119/(100-BE119)*100</f>
        <v>0</v>
      </c>
      <c r="BE119" s="51">
        <v>0</v>
      </c>
      <c r="BF119" s="51">
        <f>119</f>
        <v>119</v>
      </c>
      <c r="BH119" s="51">
        <f t="shared" ref="BH119:BH128" si="17">F119*AO119</f>
        <v>0</v>
      </c>
      <c r="BI119" s="51">
        <f t="shared" ref="BI119:BI128" si="18">F119*AP119</f>
        <v>0</v>
      </c>
      <c r="BJ119" s="51">
        <f t="shared" ref="BJ119:BJ128" si="19">F119*G119</f>
        <v>0</v>
      </c>
      <c r="BK119" s="53" t="s">
        <v>118</v>
      </c>
      <c r="BL119" s="51">
        <v>721</v>
      </c>
      <c r="BW119" s="51">
        <v>12</v>
      </c>
      <c r="BX119" s="3" t="s">
        <v>347</v>
      </c>
    </row>
    <row r="120" spans="1:76">
      <c r="A120" s="1" t="s">
        <v>350</v>
      </c>
      <c r="B120" s="2" t="s">
        <v>351</v>
      </c>
      <c r="C120" s="75" t="s">
        <v>352</v>
      </c>
      <c r="D120" s="70"/>
      <c r="E120" s="2" t="s">
        <v>140</v>
      </c>
      <c r="F120" s="51">
        <v>7.8</v>
      </c>
      <c r="G120" s="52">
        <v>0</v>
      </c>
      <c r="H120" s="51">
        <f t="shared" si="0"/>
        <v>0</v>
      </c>
      <c r="J120" s="41"/>
      <c r="Z120" s="51">
        <f t="shared" si="1"/>
        <v>0</v>
      </c>
      <c r="AB120" s="51">
        <f t="shared" si="2"/>
        <v>0</v>
      </c>
      <c r="AC120" s="51">
        <f t="shared" si="3"/>
        <v>0</v>
      </c>
      <c r="AD120" s="51">
        <f t="shared" si="4"/>
        <v>0</v>
      </c>
      <c r="AE120" s="51">
        <f t="shared" si="5"/>
        <v>0</v>
      </c>
      <c r="AF120" s="51">
        <f t="shared" si="6"/>
        <v>0</v>
      </c>
      <c r="AG120" s="51">
        <f t="shared" si="7"/>
        <v>0</v>
      </c>
      <c r="AH120" s="51">
        <f t="shared" si="8"/>
        <v>0</v>
      </c>
      <c r="AI120" s="35" t="s">
        <v>4</v>
      </c>
      <c r="AJ120" s="51">
        <f t="shared" si="9"/>
        <v>0</v>
      </c>
      <c r="AK120" s="51">
        <f t="shared" si="10"/>
        <v>0</v>
      </c>
      <c r="AL120" s="51">
        <f t="shared" si="11"/>
        <v>0</v>
      </c>
      <c r="AN120" s="51">
        <v>12</v>
      </c>
      <c r="AO120" s="51">
        <f>G120*0.268268845</f>
        <v>0</v>
      </c>
      <c r="AP120" s="51">
        <f>G120*(1-0.268268845)</f>
        <v>0</v>
      </c>
      <c r="AQ120" s="53" t="s">
        <v>148</v>
      </c>
      <c r="AV120" s="51">
        <f t="shared" si="12"/>
        <v>0</v>
      </c>
      <c r="AW120" s="51">
        <f t="shared" si="13"/>
        <v>0</v>
      </c>
      <c r="AX120" s="51">
        <f t="shared" si="14"/>
        <v>0</v>
      </c>
      <c r="AY120" s="53" t="s">
        <v>348</v>
      </c>
      <c r="AZ120" s="53" t="s">
        <v>349</v>
      </c>
      <c r="BA120" s="35" t="s">
        <v>117</v>
      </c>
      <c r="BC120" s="51">
        <f t="shared" si="15"/>
        <v>0</v>
      </c>
      <c r="BD120" s="51">
        <f t="shared" si="16"/>
        <v>0</v>
      </c>
      <c r="BE120" s="51">
        <v>0</v>
      </c>
      <c r="BF120" s="51">
        <f>120</f>
        <v>120</v>
      </c>
      <c r="BH120" s="51">
        <f t="shared" si="17"/>
        <v>0</v>
      </c>
      <c r="BI120" s="51">
        <f t="shared" si="18"/>
        <v>0</v>
      </c>
      <c r="BJ120" s="51">
        <f t="shared" si="19"/>
        <v>0</v>
      </c>
      <c r="BK120" s="53" t="s">
        <v>118</v>
      </c>
      <c r="BL120" s="51">
        <v>721</v>
      </c>
      <c r="BW120" s="51">
        <v>12</v>
      </c>
      <c r="BX120" s="3" t="s">
        <v>352</v>
      </c>
    </row>
    <row r="121" spans="1:76">
      <c r="A121" s="1" t="s">
        <v>353</v>
      </c>
      <c r="B121" s="2" t="s">
        <v>354</v>
      </c>
      <c r="C121" s="75" t="s">
        <v>355</v>
      </c>
      <c r="D121" s="70"/>
      <c r="E121" s="2" t="s">
        <v>140</v>
      </c>
      <c r="F121" s="51">
        <v>1.8</v>
      </c>
      <c r="G121" s="52">
        <v>0</v>
      </c>
      <c r="H121" s="51">
        <f t="shared" si="0"/>
        <v>0</v>
      </c>
      <c r="J121" s="41"/>
      <c r="Z121" s="51">
        <f t="shared" si="1"/>
        <v>0</v>
      </c>
      <c r="AB121" s="51">
        <f t="shared" si="2"/>
        <v>0</v>
      </c>
      <c r="AC121" s="51">
        <f t="shared" si="3"/>
        <v>0</v>
      </c>
      <c r="AD121" s="51">
        <f t="shared" si="4"/>
        <v>0</v>
      </c>
      <c r="AE121" s="51">
        <f t="shared" si="5"/>
        <v>0</v>
      </c>
      <c r="AF121" s="51">
        <f t="shared" si="6"/>
        <v>0</v>
      </c>
      <c r="AG121" s="51">
        <f t="shared" si="7"/>
        <v>0</v>
      </c>
      <c r="AH121" s="51">
        <f t="shared" si="8"/>
        <v>0</v>
      </c>
      <c r="AI121" s="35" t="s">
        <v>4</v>
      </c>
      <c r="AJ121" s="51">
        <f t="shared" si="9"/>
        <v>0</v>
      </c>
      <c r="AK121" s="51">
        <f t="shared" si="10"/>
        <v>0</v>
      </c>
      <c r="AL121" s="51">
        <f t="shared" si="11"/>
        <v>0</v>
      </c>
      <c r="AN121" s="51">
        <v>12</v>
      </c>
      <c r="AO121" s="51">
        <f>G121*0.244082569</f>
        <v>0</v>
      </c>
      <c r="AP121" s="51">
        <f>G121*(1-0.244082569)</f>
        <v>0</v>
      </c>
      <c r="AQ121" s="53" t="s">
        <v>148</v>
      </c>
      <c r="AV121" s="51">
        <f t="shared" si="12"/>
        <v>0</v>
      </c>
      <c r="AW121" s="51">
        <f t="shared" si="13"/>
        <v>0</v>
      </c>
      <c r="AX121" s="51">
        <f t="shared" si="14"/>
        <v>0</v>
      </c>
      <c r="AY121" s="53" t="s">
        <v>348</v>
      </c>
      <c r="AZ121" s="53" t="s">
        <v>349</v>
      </c>
      <c r="BA121" s="35" t="s">
        <v>117</v>
      </c>
      <c r="BC121" s="51">
        <f t="shared" si="15"/>
        <v>0</v>
      </c>
      <c r="BD121" s="51">
        <f t="shared" si="16"/>
        <v>0</v>
      </c>
      <c r="BE121" s="51">
        <v>0</v>
      </c>
      <c r="BF121" s="51">
        <f>121</f>
        <v>121</v>
      </c>
      <c r="BH121" s="51">
        <f t="shared" si="17"/>
        <v>0</v>
      </c>
      <c r="BI121" s="51">
        <f t="shared" si="18"/>
        <v>0</v>
      </c>
      <c r="BJ121" s="51">
        <f t="shared" si="19"/>
        <v>0</v>
      </c>
      <c r="BK121" s="53" t="s">
        <v>118</v>
      </c>
      <c r="BL121" s="51">
        <v>721</v>
      </c>
      <c r="BW121" s="51">
        <v>12</v>
      </c>
      <c r="BX121" s="3" t="s">
        <v>355</v>
      </c>
    </row>
    <row r="122" spans="1:76">
      <c r="A122" s="1" t="s">
        <v>356</v>
      </c>
      <c r="B122" s="2" t="s">
        <v>357</v>
      </c>
      <c r="C122" s="75" t="s">
        <v>358</v>
      </c>
      <c r="D122" s="70"/>
      <c r="E122" s="2" t="s">
        <v>140</v>
      </c>
      <c r="F122" s="51">
        <v>0.5</v>
      </c>
      <c r="G122" s="52">
        <v>0</v>
      </c>
      <c r="H122" s="51">
        <f t="shared" si="0"/>
        <v>0</v>
      </c>
      <c r="J122" s="41"/>
      <c r="Z122" s="51">
        <f t="shared" si="1"/>
        <v>0</v>
      </c>
      <c r="AB122" s="51">
        <f t="shared" si="2"/>
        <v>0</v>
      </c>
      <c r="AC122" s="51">
        <f t="shared" si="3"/>
        <v>0</v>
      </c>
      <c r="AD122" s="51">
        <f t="shared" si="4"/>
        <v>0</v>
      </c>
      <c r="AE122" s="51">
        <f t="shared" si="5"/>
        <v>0</v>
      </c>
      <c r="AF122" s="51">
        <f t="shared" si="6"/>
        <v>0</v>
      </c>
      <c r="AG122" s="51">
        <f t="shared" si="7"/>
        <v>0</v>
      </c>
      <c r="AH122" s="51">
        <f t="shared" si="8"/>
        <v>0</v>
      </c>
      <c r="AI122" s="35" t="s">
        <v>4</v>
      </c>
      <c r="AJ122" s="51">
        <f t="shared" si="9"/>
        <v>0</v>
      </c>
      <c r="AK122" s="51">
        <f t="shared" si="10"/>
        <v>0</v>
      </c>
      <c r="AL122" s="51">
        <f t="shared" si="11"/>
        <v>0</v>
      </c>
      <c r="AN122" s="51">
        <v>12</v>
      </c>
      <c r="AO122" s="51">
        <f>G122*0.349406286</f>
        <v>0</v>
      </c>
      <c r="AP122" s="51">
        <f>G122*(1-0.349406286)</f>
        <v>0</v>
      </c>
      <c r="AQ122" s="53" t="s">
        <v>148</v>
      </c>
      <c r="AV122" s="51">
        <f t="shared" si="12"/>
        <v>0</v>
      </c>
      <c r="AW122" s="51">
        <f t="shared" si="13"/>
        <v>0</v>
      </c>
      <c r="AX122" s="51">
        <f t="shared" si="14"/>
        <v>0</v>
      </c>
      <c r="AY122" s="53" t="s">
        <v>348</v>
      </c>
      <c r="AZ122" s="53" t="s">
        <v>349</v>
      </c>
      <c r="BA122" s="35" t="s">
        <v>117</v>
      </c>
      <c r="BC122" s="51">
        <f t="shared" si="15"/>
        <v>0</v>
      </c>
      <c r="BD122" s="51">
        <f t="shared" si="16"/>
        <v>0</v>
      </c>
      <c r="BE122" s="51">
        <v>0</v>
      </c>
      <c r="BF122" s="51">
        <f>122</f>
        <v>122</v>
      </c>
      <c r="BH122" s="51">
        <f t="shared" si="17"/>
        <v>0</v>
      </c>
      <c r="BI122" s="51">
        <f t="shared" si="18"/>
        <v>0</v>
      </c>
      <c r="BJ122" s="51">
        <f t="shared" si="19"/>
        <v>0</v>
      </c>
      <c r="BK122" s="53" t="s">
        <v>118</v>
      </c>
      <c r="BL122" s="51">
        <v>721</v>
      </c>
      <c r="BW122" s="51">
        <v>12</v>
      </c>
      <c r="BX122" s="3" t="s">
        <v>358</v>
      </c>
    </row>
    <row r="123" spans="1:76">
      <c r="A123" s="1" t="s">
        <v>359</v>
      </c>
      <c r="B123" s="2" t="s">
        <v>360</v>
      </c>
      <c r="C123" s="75" t="s">
        <v>361</v>
      </c>
      <c r="D123" s="70"/>
      <c r="E123" s="2" t="s">
        <v>114</v>
      </c>
      <c r="F123" s="51">
        <v>4</v>
      </c>
      <c r="G123" s="52">
        <v>0</v>
      </c>
      <c r="H123" s="51">
        <f t="shared" si="0"/>
        <v>0</v>
      </c>
      <c r="J123" s="41"/>
      <c r="Z123" s="51">
        <f t="shared" si="1"/>
        <v>0</v>
      </c>
      <c r="AB123" s="51">
        <f t="shared" si="2"/>
        <v>0</v>
      </c>
      <c r="AC123" s="51">
        <f t="shared" si="3"/>
        <v>0</v>
      </c>
      <c r="AD123" s="51">
        <f t="shared" si="4"/>
        <v>0</v>
      </c>
      <c r="AE123" s="51">
        <f t="shared" si="5"/>
        <v>0</v>
      </c>
      <c r="AF123" s="51">
        <f t="shared" si="6"/>
        <v>0</v>
      </c>
      <c r="AG123" s="51">
        <f t="shared" si="7"/>
        <v>0</v>
      </c>
      <c r="AH123" s="51">
        <f t="shared" si="8"/>
        <v>0</v>
      </c>
      <c r="AI123" s="35" t="s">
        <v>4</v>
      </c>
      <c r="AJ123" s="51">
        <f t="shared" si="9"/>
        <v>0</v>
      </c>
      <c r="AK123" s="51">
        <f t="shared" si="10"/>
        <v>0</v>
      </c>
      <c r="AL123" s="51">
        <f t="shared" si="11"/>
        <v>0</v>
      </c>
      <c r="AN123" s="51">
        <v>12</v>
      </c>
      <c r="AO123" s="51">
        <f>G123*0</f>
        <v>0</v>
      </c>
      <c r="AP123" s="51">
        <f>G123*(1-0)</f>
        <v>0</v>
      </c>
      <c r="AQ123" s="53" t="s">
        <v>148</v>
      </c>
      <c r="AV123" s="51">
        <f t="shared" si="12"/>
        <v>0</v>
      </c>
      <c r="AW123" s="51">
        <f t="shared" si="13"/>
        <v>0</v>
      </c>
      <c r="AX123" s="51">
        <f t="shared" si="14"/>
        <v>0</v>
      </c>
      <c r="AY123" s="53" t="s">
        <v>348</v>
      </c>
      <c r="AZ123" s="53" t="s">
        <v>349</v>
      </c>
      <c r="BA123" s="35" t="s">
        <v>117</v>
      </c>
      <c r="BC123" s="51">
        <f t="shared" si="15"/>
        <v>0</v>
      </c>
      <c r="BD123" s="51">
        <f t="shared" si="16"/>
        <v>0</v>
      </c>
      <c r="BE123" s="51">
        <v>0</v>
      </c>
      <c r="BF123" s="51">
        <f>123</f>
        <v>123</v>
      </c>
      <c r="BH123" s="51">
        <f t="shared" si="17"/>
        <v>0</v>
      </c>
      <c r="BI123" s="51">
        <f t="shared" si="18"/>
        <v>0</v>
      </c>
      <c r="BJ123" s="51">
        <f t="shared" si="19"/>
        <v>0</v>
      </c>
      <c r="BK123" s="53" t="s">
        <v>118</v>
      </c>
      <c r="BL123" s="51">
        <v>721</v>
      </c>
      <c r="BW123" s="51">
        <v>12</v>
      </c>
      <c r="BX123" s="3" t="s">
        <v>361</v>
      </c>
    </row>
    <row r="124" spans="1:76">
      <c r="A124" s="1" t="s">
        <v>362</v>
      </c>
      <c r="B124" s="2" t="s">
        <v>363</v>
      </c>
      <c r="C124" s="75" t="s">
        <v>364</v>
      </c>
      <c r="D124" s="70"/>
      <c r="E124" s="2" t="s">
        <v>114</v>
      </c>
      <c r="F124" s="51">
        <v>1</v>
      </c>
      <c r="G124" s="52">
        <v>0</v>
      </c>
      <c r="H124" s="51">
        <f t="shared" si="0"/>
        <v>0</v>
      </c>
      <c r="J124" s="41"/>
      <c r="Z124" s="51">
        <f t="shared" si="1"/>
        <v>0</v>
      </c>
      <c r="AB124" s="51">
        <f t="shared" si="2"/>
        <v>0</v>
      </c>
      <c r="AC124" s="51">
        <f t="shared" si="3"/>
        <v>0</v>
      </c>
      <c r="AD124" s="51">
        <f t="shared" si="4"/>
        <v>0</v>
      </c>
      <c r="AE124" s="51">
        <f t="shared" si="5"/>
        <v>0</v>
      </c>
      <c r="AF124" s="51">
        <f t="shared" si="6"/>
        <v>0</v>
      </c>
      <c r="AG124" s="51">
        <f t="shared" si="7"/>
        <v>0</v>
      </c>
      <c r="AH124" s="51">
        <f t="shared" si="8"/>
        <v>0</v>
      </c>
      <c r="AI124" s="35" t="s">
        <v>4</v>
      </c>
      <c r="AJ124" s="51">
        <f t="shared" si="9"/>
        <v>0</v>
      </c>
      <c r="AK124" s="51">
        <f t="shared" si="10"/>
        <v>0</v>
      </c>
      <c r="AL124" s="51">
        <f t="shared" si="11"/>
        <v>0</v>
      </c>
      <c r="AN124" s="51">
        <v>12</v>
      </c>
      <c r="AO124" s="51">
        <f>G124*0</f>
        <v>0</v>
      </c>
      <c r="AP124" s="51">
        <f>G124*(1-0)</f>
        <v>0</v>
      </c>
      <c r="AQ124" s="53" t="s">
        <v>148</v>
      </c>
      <c r="AV124" s="51">
        <f t="shared" si="12"/>
        <v>0</v>
      </c>
      <c r="AW124" s="51">
        <f t="shared" si="13"/>
        <v>0</v>
      </c>
      <c r="AX124" s="51">
        <f t="shared" si="14"/>
        <v>0</v>
      </c>
      <c r="AY124" s="53" t="s">
        <v>348</v>
      </c>
      <c r="AZ124" s="53" t="s">
        <v>349</v>
      </c>
      <c r="BA124" s="35" t="s">
        <v>117</v>
      </c>
      <c r="BC124" s="51">
        <f t="shared" si="15"/>
        <v>0</v>
      </c>
      <c r="BD124" s="51">
        <f t="shared" si="16"/>
        <v>0</v>
      </c>
      <c r="BE124" s="51">
        <v>0</v>
      </c>
      <c r="BF124" s="51">
        <f>124</f>
        <v>124</v>
      </c>
      <c r="BH124" s="51">
        <f t="shared" si="17"/>
        <v>0</v>
      </c>
      <c r="BI124" s="51">
        <f t="shared" si="18"/>
        <v>0</v>
      </c>
      <c r="BJ124" s="51">
        <f t="shared" si="19"/>
        <v>0</v>
      </c>
      <c r="BK124" s="53" t="s">
        <v>118</v>
      </c>
      <c r="BL124" s="51">
        <v>721</v>
      </c>
      <c r="BW124" s="51">
        <v>12</v>
      </c>
      <c r="BX124" s="3" t="s">
        <v>364</v>
      </c>
    </row>
    <row r="125" spans="1:76">
      <c r="A125" s="1" t="s">
        <v>365</v>
      </c>
      <c r="B125" s="2" t="s">
        <v>366</v>
      </c>
      <c r="C125" s="75" t="s">
        <v>367</v>
      </c>
      <c r="D125" s="70"/>
      <c r="E125" s="2" t="s">
        <v>140</v>
      </c>
      <c r="F125" s="51">
        <v>9.6</v>
      </c>
      <c r="G125" s="52">
        <v>0</v>
      </c>
      <c r="H125" s="51">
        <f t="shared" si="0"/>
        <v>0</v>
      </c>
      <c r="J125" s="41"/>
      <c r="Z125" s="51">
        <f t="shared" si="1"/>
        <v>0</v>
      </c>
      <c r="AB125" s="51">
        <f t="shared" si="2"/>
        <v>0</v>
      </c>
      <c r="AC125" s="51">
        <f t="shared" si="3"/>
        <v>0</v>
      </c>
      <c r="AD125" s="51">
        <f t="shared" si="4"/>
        <v>0</v>
      </c>
      <c r="AE125" s="51">
        <f t="shared" si="5"/>
        <v>0</v>
      </c>
      <c r="AF125" s="51">
        <f t="shared" si="6"/>
        <v>0</v>
      </c>
      <c r="AG125" s="51">
        <f t="shared" si="7"/>
        <v>0</v>
      </c>
      <c r="AH125" s="51">
        <f t="shared" si="8"/>
        <v>0</v>
      </c>
      <c r="AI125" s="35" t="s">
        <v>4</v>
      </c>
      <c r="AJ125" s="51">
        <f t="shared" si="9"/>
        <v>0</v>
      </c>
      <c r="AK125" s="51">
        <f t="shared" si="10"/>
        <v>0</v>
      </c>
      <c r="AL125" s="51">
        <f t="shared" si="11"/>
        <v>0</v>
      </c>
      <c r="AN125" s="51">
        <v>12</v>
      </c>
      <c r="AO125" s="51">
        <f>G125*0</f>
        <v>0</v>
      </c>
      <c r="AP125" s="51">
        <f>G125*(1-0)</f>
        <v>0</v>
      </c>
      <c r="AQ125" s="53" t="s">
        <v>121</v>
      </c>
      <c r="AV125" s="51">
        <f t="shared" si="12"/>
        <v>0</v>
      </c>
      <c r="AW125" s="51">
        <f t="shared" si="13"/>
        <v>0</v>
      </c>
      <c r="AX125" s="51">
        <f t="shared" si="14"/>
        <v>0</v>
      </c>
      <c r="AY125" s="53" t="s">
        <v>348</v>
      </c>
      <c r="AZ125" s="53" t="s">
        <v>349</v>
      </c>
      <c r="BA125" s="35" t="s">
        <v>117</v>
      </c>
      <c r="BC125" s="51">
        <f t="shared" si="15"/>
        <v>0</v>
      </c>
      <c r="BD125" s="51">
        <f t="shared" si="16"/>
        <v>0</v>
      </c>
      <c r="BE125" s="51">
        <v>0</v>
      </c>
      <c r="BF125" s="51">
        <f>125</f>
        <v>125</v>
      </c>
      <c r="BH125" s="51">
        <f t="shared" si="17"/>
        <v>0</v>
      </c>
      <c r="BI125" s="51">
        <f t="shared" si="18"/>
        <v>0</v>
      </c>
      <c r="BJ125" s="51">
        <f t="shared" si="19"/>
        <v>0</v>
      </c>
      <c r="BK125" s="53" t="s">
        <v>118</v>
      </c>
      <c r="BL125" s="51">
        <v>721</v>
      </c>
      <c r="BW125" s="51">
        <v>12</v>
      </c>
      <c r="BX125" s="3" t="s">
        <v>367</v>
      </c>
    </row>
    <row r="126" spans="1:76">
      <c r="A126" s="1" t="s">
        <v>368</v>
      </c>
      <c r="B126" s="2" t="s">
        <v>369</v>
      </c>
      <c r="C126" s="75" t="s">
        <v>370</v>
      </c>
      <c r="D126" s="70"/>
      <c r="E126" s="2" t="s">
        <v>140</v>
      </c>
      <c r="F126" s="51">
        <v>9.6</v>
      </c>
      <c r="G126" s="52">
        <v>0</v>
      </c>
      <c r="H126" s="51">
        <f t="shared" si="0"/>
        <v>0</v>
      </c>
      <c r="J126" s="41"/>
      <c r="Z126" s="51">
        <f t="shared" si="1"/>
        <v>0</v>
      </c>
      <c r="AB126" s="51">
        <f t="shared" si="2"/>
        <v>0</v>
      </c>
      <c r="AC126" s="51">
        <f t="shared" si="3"/>
        <v>0</v>
      </c>
      <c r="AD126" s="51">
        <f t="shared" si="4"/>
        <v>0</v>
      </c>
      <c r="AE126" s="51">
        <f t="shared" si="5"/>
        <v>0</v>
      </c>
      <c r="AF126" s="51">
        <f t="shared" si="6"/>
        <v>0</v>
      </c>
      <c r="AG126" s="51">
        <f t="shared" si="7"/>
        <v>0</v>
      </c>
      <c r="AH126" s="51">
        <f t="shared" si="8"/>
        <v>0</v>
      </c>
      <c r="AI126" s="35" t="s">
        <v>4</v>
      </c>
      <c r="AJ126" s="51">
        <f t="shared" si="9"/>
        <v>0</v>
      </c>
      <c r="AK126" s="51">
        <f t="shared" si="10"/>
        <v>0</v>
      </c>
      <c r="AL126" s="51">
        <f t="shared" si="11"/>
        <v>0</v>
      </c>
      <c r="AN126" s="51">
        <v>12</v>
      </c>
      <c r="AO126" s="51">
        <f>G126*0.026019394</f>
        <v>0</v>
      </c>
      <c r="AP126" s="51">
        <f>G126*(1-0.026019394)</f>
        <v>0</v>
      </c>
      <c r="AQ126" s="53" t="s">
        <v>148</v>
      </c>
      <c r="AV126" s="51">
        <f t="shared" si="12"/>
        <v>0</v>
      </c>
      <c r="AW126" s="51">
        <f t="shared" si="13"/>
        <v>0</v>
      </c>
      <c r="AX126" s="51">
        <f t="shared" si="14"/>
        <v>0</v>
      </c>
      <c r="AY126" s="53" t="s">
        <v>348</v>
      </c>
      <c r="AZ126" s="53" t="s">
        <v>349</v>
      </c>
      <c r="BA126" s="35" t="s">
        <v>117</v>
      </c>
      <c r="BC126" s="51">
        <f t="shared" si="15"/>
        <v>0</v>
      </c>
      <c r="BD126" s="51">
        <f t="shared" si="16"/>
        <v>0</v>
      </c>
      <c r="BE126" s="51">
        <v>0</v>
      </c>
      <c r="BF126" s="51">
        <f>126</f>
        <v>126</v>
      </c>
      <c r="BH126" s="51">
        <f t="shared" si="17"/>
        <v>0</v>
      </c>
      <c r="BI126" s="51">
        <f t="shared" si="18"/>
        <v>0</v>
      </c>
      <c r="BJ126" s="51">
        <f t="shared" si="19"/>
        <v>0</v>
      </c>
      <c r="BK126" s="53" t="s">
        <v>118</v>
      </c>
      <c r="BL126" s="51">
        <v>721</v>
      </c>
      <c r="BW126" s="51">
        <v>12</v>
      </c>
      <c r="BX126" s="3" t="s">
        <v>370</v>
      </c>
    </row>
    <row r="127" spans="1:76">
      <c r="A127" s="1" t="s">
        <v>371</v>
      </c>
      <c r="B127" s="2" t="s">
        <v>372</v>
      </c>
      <c r="C127" s="75" t="s">
        <v>373</v>
      </c>
      <c r="D127" s="70"/>
      <c r="E127" s="2" t="s">
        <v>140</v>
      </c>
      <c r="F127" s="51">
        <v>0.5</v>
      </c>
      <c r="G127" s="52">
        <v>0</v>
      </c>
      <c r="H127" s="51">
        <f t="shared" si="0"/>
        <v>0</v>
      </c>
      <c r="J127" s="41"/>
      <c r="Z127" s="51">
        <f t="shared" si="1"/>
        <v>0</v>
      </c>
      <c r="AB127" s="51">
        <f t="shared" si="2"/>
        <v>0</v>
      </c>
      <c r="AC127" s="51">
        <f t="shared" si="3"/>
        <v>0</v>
      </c>
      <c r="AD127" s="51">
        <f t="shared" si="4"/>
        <v>0</v>
      </c>
      <c r="AE127" s="51">
        <f t="shared" si="5"/>
        <v>0</v>
      </c>
      <c r="AF127" s="51">
        <f t="shared" si="6"/>
        <v>0</v>
      </c>
      <c r="AG127" s="51">
        <f t="shared" si="7"/>
        <v>0</v>
      </c>
      <c r="AH127" s="51">
        <f t="shared" si="8"/>
        <v>0</v>
      </c>
      <c r="AI127" s="35" t="s">
        <v>4</v>
      </c>
      <c r="AJ127" s="51">
        <f t="shared" si="9"/>
        <v>0</v>
      </c>
      <c r="AK127" s="51">
        <f t="shared" si="10"/>
        <v>0</v>
      </c>
      <c r="AL127" s="51">
        <f t="shared" si="11"/>
        <v>0</v>
      </c>
      <c r="AN127" s="51">
        <v>12</v>
      </c>
      <c r="AO127" s="51">
        <f>G127*0.325048309</f>
        <v>0</v>
      </c>
      <c r="AP127" s="51">
        <f>G127*(1-0.325048309)</f>
        <v>0</v>
      </c>
      <c r="AQ127" s="53" t="s">
        <v>148</v>
      </c>
      <c r="AV127" s="51">
        <f t="shared" si="12"/>
        <v>0</v>
      </c>
      <c r="AW127" s="51">
        <f t="shared" si="13"/>
        <v>0</v>
      </c>
      <c r="AX127" s="51">
        <f t="shared" si="14"/>
        <v>0</v>
      </c>
      <c r="AY127" s="53" t="s">
        <v>348</v>
      </c>
      <c r="AZ127" s="53" t="s">
        <v>349</v>
      </c>
      <c r="BA127" s="35" t="s">
        <v>117</v>
      </c>
      <c r="BC127" s="51">
        <f t="shared" si="15"/>
        <v>0</v>
      </c>
      <c r="BD127" s="51">
        <f t="shared" si="16"/>
        <v>0</v>
      </c>
      <c r="BE127" s="51">
        <v>0</v>
      </c>
      <c r="BF127" s="51">
        <f>127</f>
        <v>127</v>
      </c>
      <c r="BH127" s="51">
        <f t="shared" si="17"/>
        <v>0</v>
      </c>
      <c r="BI127" s="51">
        <f t="shared" si="18"/>
        <v>0</v>
      </c>
      <c r="BJ127" s="51">
        <f t="shared" si="19"/>
        <v>0</v>
      </c>
      <c r="BK127" s="53" t="s">
        <v>118</v>
      </c>
      <c r="BL127" s="51">
        <v>721</v>
      </c>
      <c r="BW127" s="51">
        <v>12</v>
      </c>
      <c r="BX127" s="3" t="s">
        <v>373</v>
      </c>
    </row>
    <row r="128" spans="1:76">
      <c r="A128" s="1" t="s">
        <v>374</v>
      </c>
      <c r="B128" s="2" t="s">
        <v>375</v>
      </c>
      <c r="C128" s="75" t="s">
        <v>376</v>
      </c>
      <c r="D128" s="70"/>
      <c r="E128" s="2" t="s">
        <v>281</v>
      </c>
      <c r="F128" s="51">
        <v>0.05</v>
      </c>
      <c r="G128" s="52">
        <v>0</v>
      </c>
      <c r="H128" s="51">
        <f t="shared" si="0"/>
        <v>0</v>
      </c>
      <c r="J128" s="41"/>
      <c r="Z128" s="51">
        <f t="shared" si="1"/>
        <v>0</v>
      </c>
      <c r="AB128" s="51">
        <f t="shared" si="2"/>
        <v>0</v>
      </c>
      <c r="AC128" s="51">
        <f t="shared" si="3"/>
        <v>0</v>
      </c>
      <c r="AD128" s="51">
        <f t="shared" si="4"/>
        <v>0</v>
      </c>
      <c r="AE128" s="51">
        <f t="shared" si="5"/>
        <v>0</v>
      </c>
      <c r="AF128" s="51">
        <f t="shared" si="6"/>
        <v>0</v>
      </c>
      <c r="AG128" s="51">
        <f t="shared" si="7"/>
        <v>0</v>
      </c>
      <c r="AH128" s="51">
        <f t="shared" si="8"/>
        <v>0</v>
      </c>
      <c r="AI128" s="35" t="s">
        <v>4</v>
      </c>
      <c r="AJ128" s="51">
        <f t="shared" si="9"/>
        <v>0</v>
      </c>
      <c r="AK128" s="51">
        <f t="shared" si="10"/>
        <v>0</v>
      </c>
      <c r="AL128" s="51">
        <f t="shared" si="11"/>
        <v>0</v>
      </c>
      <c r="AN128" s="51">
        <v>12</v>
      </c>
      <c r="AO128" s="51">
        <f>G128*0</f>
        <v>0</v>
      </c>
      <c r="AP128" s="51">
        <f>G128*(1-0)</f>
        <v>0</v>
      </c>
      <c r="AQ128" s="53" t="s">
        <v>137</v>
      </c>
      <c r="AV128" s="51">
        <f t="shared" si="12"/>
        <v>0</v>
      </c>
      <c r="AW128" s="51">
        <f t="shared" si="13"/>
        <v>0</v>
      </c>
      <c r="AX128" s="51">
        <f t="shared" si="14"/>
        <v>0</v>
      </c>
      <c r="AY128" s="53" t="s">
        <v>348</v>
      </c>
      <c r="AZ128" s="53" t="s">
        <v>349</v>
      </c>
      <c r="BA128" s="35" t="s">
        <v>117</v>
      </c>
      <c r="BC128" s="51">
        <f t="shared" si="15"/>
        <v>0</v>
      </c>
      <c r="BD128" s="51">
        <f t="shared" si="16"/>
        <v>0</v>
      </c>
      <c r="BE128" s="51">
        <v>0</v>
      </c>
      <c r="BF128" s="51">
        <f>128</f>
        <v>128</v>
      </c>
      <c r="BH128" s="51">
        <f t="shared" si="17"/>
        <v>0</v>
      </c>
      <c r="BI128" s="51">
        <f t="shared" si="18"/>
        <v>0</v>
      </c>
      <c r="BJ128" s="51">
        <f t="shared" si="19"/>
        <v>0</v>
      </c>
      <c r="BK128" s="53" t="s">
        <v>118</v>
      </c>
      <c r="BL128" s="51">
        <v>721</v>
      </c>
      <c r="BW128" s="51">
        <v>12</v>
      </c>
      <c r="BX128" s="3" t="s">
        <v>376</v>
      </c>
    </row>
    <row r="129" spans="1:76">
      <c r="A129" s="47" t="s">
        <v>4</v>
      </c>
      <c r="B129" s="48" t="s">
        <v>377</v>
      </c>
      <c r="C129" s="150" t="s">
        <v>378</v>
      </c>
      <c r="D129" s="151"/>
      <c r="E129" s="49" t="s">
        <v>79</v>
      </c>
      <c r="F129" s="49" t="s">
        <v>79</v>
      </c>
      <c r="G129" s="50" t="s">
        <v>79</v>
      </c>
      <c r="H129" s="28">
        <f>SUM(H130:H140)</f>
        <v>0</v>
      </c>
      <c r="J129" s="41"/>
      <c r="AI129" s="35" t="s">
        <v>4</v>
      </c>
      <c r="AS129" s="28">
        <f>SUM(AJ130:AJ140)</f>
        <v>0</v>
      </c>
      <c r="AT129" s="28">
        <f>SUM(AK130:AK140)</f>
        <v>0</v>
      </c>
      <c r="AU129" s="28">
        <f>SUM(AL130:AL140)</f>
        <v>0</v>
      </c>
    </row>
    <row r="130" spans="1:76">
      <c r="A130" s="1" t="s">
        <v>379</v>
      </c>
      <c r="B130" s="2" t="s">
        <v>380</v>
      </c>
      <c r="C130" s="75" t="s">
        <v>381</v>
      </c>
      <c r="D130" s="70"/>
      <c r="E130" s="2" t="s">
        <v>114</v>
      </c>
      <c r="F130" s="51">
        <v>2</v>
      </c>
      <c r="G130" s="52">
        <v>0</v>
      </c>
      <c r="H130" s="51">
        <f t="shared" ref="H130:H135" si="20">ROUND(F130*G130,2)</f>
        <v>0</v>
      </c>
      <c r="J130" s="41"/>
      <c r="Z130" s="51">
        <f t="shared" ref="Z130:Z135" si="21">ROUND(IF(AQ130="5",BJ130,0),2)</f>
        <v>0</v>
      </c>
      <c r="AB130" s="51">
        <f t="shared" ref="AB130:AB135" si="22">ROUND(IF(AQ130="1",BH130,0),2)</f>
        <v>0</v>
      </c>
      <c r="AC130" s="51">
        <f t="shared" ref="AC130:AC135" si="23">ROUND(IF(AQ130="1",BI130,0),2)</f>
        <v>0</v>
      </c>
      <c r="AD130" s="51">
        <f t="shared" ref="AD130:AD135" si="24">ROUND(IF(AQ130="7",BH130,0),2)</f>
        <v>0</v>
      </c>
      <c r="AE130" s="51">
        <f t="shared" ref="AE130:AE135" si="25">ROUND(IF(AQ130="7",BI130,0),2)</f>
        <v>0</v>
      </c>
      <c r="AF130" s="51">
        <f t="shared" ref="AF130:AF135" si="26">ROUND(IF(AQ130="2",BH130,0),2)</f>
        <v>0</v>
      </c>
      <c r="AG130" s="51">
        <f t="shared" ref="AG130:AG135" si="27">ROUND(IF(AQ130="2",BI130,0),2)</f>
        <v>0</v>
      </c>
      <c r="AH130" s="51">
        <f t="shared" ref="AH130:AH135" si="28">ROUND(IF(AQ130="0",BJ130,0),2)</f>
        <v>0</v>
      </c>
      <c r="AI130" s="35" t="s">
        <v>4</v>
      </c>
      <c r="AJ130" s="51">
        <f t="shared" ref="AJ130:AJ135" si="29">IF(AN130=0,H130,0)</f>
        <v>0</v>
      </c>
      <c r="AK130" s="51">
        <f t="shared" ref="AK130:AK135" si="30">IF(AN130=12,H130,0)</f>
        <v>0</v>
      </c>
      <c r="AL130" s="51">
        <f t="shared" ref="AL130:AL135" si="31">IF(AN130=21,H130,0)</f>
        <v>0</v>
      </c>
      <c r="AN130" s="51">
        <v>12</v>
      </c>
      <c r="AO130" s="51">
        <f>G130*0</f>
        <v>0</v>
      </c>
      <c r="AP130" s="51">
        <f>G130*(1-0)</f>
        <v>0</v>
      </c>
      <c r="AQ130" s="53" t="s">
        <v>148</v>
      </c>
      <c r="AV130" s="51">
        <f t="shared" ref="AV130:AV135" si="32">ROUND(AW130+AX130,2)</f>
        <v>0</v>
      </c>
      <c r="AW130" s="51">
        <f t="shared" ref="AW130:AW135" si="33">ROUND(F130*AO130,2)</f>
        <v>0</v>
      </c>
      <c r="AX130" s="51">
        <f t="shared" ref="AX130:AX135" si="34">ROUND(F130*AP130,2)</f>
        <v>0</v>
      </c>
      <c r="AY130" s="53" t="s">
        <v>382</v>
      </c>
      <c r="AZ130" s="53" t="s">
        <v>349</v>
      </c>
      <c r="BA130" s="35" t="s">
        <v>117</v>
      </c>
      <c r="BC130" s="51">
        <f t="shared" ref="BC130:BC135" si="35">AW130+AX130</f>
        <v>0</v>
      </c>
      <c r="BD130" s="51">
        <f t="shared" ref="BD130:BD135" si="36">G130/(100-BE130)*100</f>
        <v>0</v>
      </c>
      <c r="BE130" s="51">
        <v>0</v>
      </c>
      <c r="BF130" s="51">
        <f>130</f>
        <v>130</v>
      </c>
      <c r="BH130" s="51">
        <f t="shared" ref="BH130:BH135" si="37">F130*AO130</f>
        <v>0</v>
      </c>
      <c r="BI130" s="51">
        <f t="shared" ref="BI130:BI135" si="38">F130*AP130</f>
        <v>0</v>
      </c>
      <c r="BJ130" s="51">
        <f t="shared" ref="BJ130:BJ135" si="39">F130*G130</f>
        <v>0</v>
      </c>
      <c r="BK130" s="53" t="s">
        <v>118</v>
      </c>
      <c r="BL130" s="51">
        <v>722</v>
      </c>
      <c r="BW130" s="51">
        <v>12</v>
      </c>
      <c r="BX130" s="3" t="s">
        <v>381</v>
      </c>
    </row>
    <row r="131" spans="1:76">
      <c r="A131" s="1" t="s">
        <v>383</v>
      </c>
      <c r="B131" s="2" t="s">
        <v>384</v>
      </c>
      <c r="C131" s="75" t="s">
        <v>385</v>
      </c>
      <c r="D131" s="70"/>
      <c r="E131" s="2" t="s">
        <v>114</v>
      </c>
      <c r="F131" s="51">
        <v>2</v>
      </c>
      <c r="G131" s="52">
        <v>0</v>
      </c>
      <c r="H131" s="51">
        <f t="shared" si="20"/>
        <v>0</v>
      </c>
      <c r="J131" s="41"/>
      <c r="Z131" s="51">
        <f t="shared" si="21"/>
        <v>0</v>
      </c>
      <c r="AB131" s="51">
        <f t="shared" si="22"/>
        <v>0</v>
      </c>
      <c r="AC131" s="51">
        <f t="shared" si="23"/>
        <v>0</v>
      </c>
      <c r="AD131" s="51">
        <f t="shared" si="24"/>
        <v>0</v>
      </c>
      <c r="AE131" s="51">
        <f t="shared" si="25"/>
        <v>0</v>
      </c>
      <c r="AF131" s="51">
        <f t="shared" si="26"/>
        <v>0</v>
      </c>
      <c r="AG131" s="51">
        <f t="shared" si="27"/>
        <v>0</v>
      </c>
      <c r="AH131" s="51">
        <f t="shared" si="28"/>
        <v>0</v>
      </c>
      <c r="AI131" s="35" t="s">
        <v>4</v>
      </c>
      <c r="AJ131" s="51">
        <f t="shared" si="29"/>
        <v>0</v>
      </c>
      <c r="AK131" s="51">
        <f t="shared" si="30"/>
        <v>0</v>
      </c>
      <c r="AL131" s="51">
        <f t="shared" si="31"/>
        <v>0</v>
      </c>
      <c r="AN131" s="51">
        <v>12</v>
      </c>
      <c r="AO131" s="51">
        <f>G131*0.032072072</f>
        <v>0</v>
      </c>
      <c r="AP131" s="51">
        <f>G131*(1-0.032072072)</f>
        <v>0</v>
      </c>
      <c r="AQ131" s="53" t="s">
        <v>148</v>
      </c>
      <c r="AV131" s="51">
        <f t="shared" si="32"/>
        <v>0</v>
      </c>
      <c r="AW131" s="51">
        <f t="shared" si="33"/>
        <v>0</v>
      </c>
      <c r="AX131" s="51">
        <f t="shared" si="34"/>
        <v>0</v>
      </c>
      <c r="AY131" s="53" t="s">
        <v>382</v>
      </c>
      <c r="AZ131" s="53" t="s">
        <v>349</v>
      </c>
      <c r="BA131" s="35" t="s">
        <v>117</v>
      </c>
      <c r="BC131" s="51">
        <f t="shared" si="35"/>
        <v>0</v>
      </c>
      <c r="BD131" s="51">
        <f t="shared" si="36"/>
        <v>0</v>
      </c>
      <c r="BE131" s="51">
        <v>0</v>
      </c>
      <c r="BF131" s="51">
        <f>131</f>
        <v>131</v>
      </c>
      <c r="BH131" s="51">
        <f t="shared" si="37"/>
        <v>0</v>
      </c>
      <c r="BI131" s="51">
        <f t="shared" si="38"/>
        <v>0</v>
      </c>
      <c r="BJ131" s="51">
        <f t="shared" si="39"/>
        <v>0</v>
      </c>
      <c r="BK131" s="53" t="s">
        <v>118</v>
      </c>
      <c r="BL131" s="51">
        <v>722</v>
      </c>
      <c r="BW131" s="51">
        <v>12</v>
      </c>
      <c r="BX131" s="3" t="s">
        <v>385</v>
      </c>
    </row>
    <row r="132" spans="1:76">
      <c r="A132" s="1" t="s">
        <v>386</v>
      </c>
      <c r="B132" s="2" t="s">
        <v>387</v>
      </c>
      <c r="C132" s="75" t="s">
        <v>388</v>
      </c>
      <c r="D132" s="70"/>
      <c r="E132" s="2" t="s">
        <v>140</v>
      </c>
      <c r="F132" s="51">
        <v>12.5</v>
      </c>
      <c r="G132" s="52">
        <v>0</v>
      </c>
      <c r="H132" s="51">
        <f t="shared" si="20"/>
        <v>0</v>
      </c>
      <c r="J132" s="41"/>
      <c r="Z132" s="51">
        <f t="shared" si="21"/>
        <v>0</v>
      </c>
      <c r="AB132" s="51">
        <f t="shared" si="22"/>
        <v>0</v>
      </c>
      <c r="AC132" s="51">
        <f t="shared" si="23"/>
        <v>0</v>
      </c>
      <c r="AD132" s="51">
        <f t="shared" si="24"/>
        <v>0</v>
      </c>
      <c r="AE132" s="51">
        <f t="shared" si="25"/>
        <v>0</v>
      </c>
      <c r="AF132" s="51">
        <f t="shared" si="26"/>
        <v>0</v>
      </c>
      <c r="AG132" s="51">
        <f t="shared" si="27"/>
        <v>0</v>
      </c>
      <c r="AH132" s="51">
        <f t="shared" si="28"/>
        <v>0</v>
      </c>
      <c r="AI132" s="35" t="s">
        <v>4</v>
      </c>
      <c r="AJ132" s="51">
        <f t="shared" si="29"/>
        <v>0</v>
      </c>
      <c r="AK132" s="51">
        <f t="shared" si="30"/>
        <v>0</v>
      </c>
      <c r="AL132" s="51">
        <f t="shared" si="31"/>
        <v>0</v>
      </c>
      <c r="AN132" s="51">
        <v>12</v>
      </c>
      <c r="AO132" s="51">
        <f>G132*0.322584814</f>
        <v>0</v>
      </c>
      <c r="AP132" s="51">
        <f>G132*(1-0.322584814)</f>
        <v>0</v>
      </c>
      <c r="AQ132" s="53" t="s">
        <v>148</v>
      </c>
      <c r="AV132" s="51">
        <f t="shared" si="32"/>
        <v>0</v>
      </c>
      <c r="AW132" s="51">
        <f t="shared" si="33"/>
        <v>0</v>
      </c>
      <c r="AX132" s="51">
        <f t="shared" si="34"/>
        <v>0</v>
      </c>
      <c r="AY132" s="53" t="s">
        <v>382</v>
      </c>
      <c r="AZ132" s="53" t="s">
        <v>349</v>
      </c>
      <c r="BA132" s="35" t="s">
        <v>117</v>
      </c>
      <c r="BC132" s="51">
        <f t="shared" si="35"/>
        <v>0</v>
      </c>
      <c r="BD132" s="51">
        <f t="shared" si="36"/>
        <v>0</v>
      </c>
      <c r="BE132" s="51">
        <v>0</v>
      </c>
      <c r="BF132" s="51">
        <f>132</f>
        <v>132</v>
      </c>
      <c r="BH132" s="51">
        <f t="shared" si="37"/>
        <v>0</v>
      </c>
      <c r="BI132" s="51">
        <f t="shared" si="38"/>
        <v>0</v>
      </c>
      <c r="BJ132" s="51">
        <f t="shared" si="39"/>
        <v>0</v>
      </c>
      <c r="BK132" s="53" t="s">
        <v>118</v>
      </c>
      <c r="BL132" s="51">
        <v>722</v>
      </c>
      <c r="BW132" s="51">
        <v>12</v>
      </c>
      <c r="BX132" s="3" t="s">
        <v>388</v>
      </c>
    </row>
    <row r="133" spans="1:76">
      <c r="A133" s="1" t="s">
        <v>389</v>
      </c>
      <c r="B133" s="2" t="s">
        <v>390</v>
      </c>
      <c r="C133" s="75" t="s">
        <v>391</v>
      </c>
      <c r="D133" s="70"/>
      <c r="E133" s="2" t="s">
        <v>114</v>
      </c>
      <c r="F133" s="51">
        <v>2</v>
      </c>
      <c r="G133" s="52">
        <v>0</v>
      </c>
      <c r="H133" s="51">
        <f t="shared" si="20"/>
        <v>0</v>
      </c>
      <c r="J133" s="41"/>
      <c r="Z133" s="51">
        <f t="shared" si="21"/>
        <v>0</v>
      </c>
      <c r="AB133" s="51">
        <f t="shared" si="22"/>
        <v>0</v>
      </c>
      <c r="AC133" s="51">
        <f t="shared" si="23"/>
        <v>0</v>
      </c>
      <c r="AD133" s="51">
        <f t="shared" si="24"/>
        <v>0</v>
      </c>
      <c r="AE133" s="51">
        <f t="shared" si="25"/>
        <v>0</v>
      </c>
      <c r="AF133" s="51">
        <f t="shared" si="26"/>
        <v>0</v>
      </c>
      <c r="AG133" s="51">
        <f t="shared" si="27"/>
        <v>0</v>
      </c>
      <c r="AH133" s="51">
        <f t="shared" si="28"/>
        <v>0</v>
      </c>
      <c r="AI133" s="35" t="s">
        <v>4</v>
      </c>
      <c r="AJ133" s="51">
        <f t="shared" si="29"/>
        <v>0</v>
      </c>
      <c r="AK133" s="51">
        <f t="shared" si="30"/>
        <v>0</v>
      </c>
      <c r="AL133" s="51">
        <f t="shared" si="31"/>
        <v>0</v>
      </c>
      <c r="AN133" s="51">
        <v>12</v>
      </c>
      <c r="AO133" s="51">
        <f>G133*0.497966616</f>
        <v>0</v>
      </c>
      <c r="AP133" s="51">
        <f>G133*(1-0.497966616)</f>
        <v>0</v>
      </c>
      <c r="AQ133" s="53" t="s">
        <v>148</v>
      </c>
      <c r="AV133" s="51">
        <f t="shared" si="32"/>
        <v>0</v>
      </c>
      <c r="AW133" s="51">
        <f t="shared" si="33"/>
        <v>0</v>
      </c>
      <c r="AX133" s="51">
        <f t="shared" si="34"/>
        <v>0</v>
      </c>
      <c r="AY133" s="53" t="s">
        <v>382</v>
      </c>
      <c r="AZ133" s="53" t="s">
        <v>349</v>
      </c>
      <c r="BA133" s="35" t="s">
        <v>117</v>
      </c>
      <c r="BC133" s="51">
        <f t="shared" si="35"/>
        <v>0</v>
      </c>
      <c r="BD133" s="51">
        <f t="shared" si="36"/>
        <v>0</v>
      </c>
      <c r="BE133" s="51">
        <v>0</v>
      </c>
      <c r="BF133" s="51">
        <f>133</f>
        <v>133</v>
      </c>
      <c r="BH133" s="51">
        <f t="shared" si="37"/>
        <v>0</v>
      </c>
      <c r="BI133" s="51">
        <f t="shared" si="38"/>
        <v>0</v>
      </c>
      <c r="BJ133" s="51">
        <f t="shared" si="39"/>
        <v>0</v>
      </c>
      <c r="BK133" s="53" t="s">
        <v>118</v>
      </c>
      <c r="BL133" s="51">
        <v>722</v>
      </c>
      <c r="BW133" s="51">
        <v>12</v>
      </c>
      <c r="BX133" s="3" t="s">
        <v>391</v>
      </c>
    </row>
    <row r="134" spans="1:76">
      <c r="A134" s="1" t="s">
        <v>392</v>
      </c>
      <c r="B134" s="2" t="s">
        <v>393</v>
      </c>
      <c r="C134" s="75" t="s">
        <v>394</v>
      </c>
      <c r="D134" s="70"/>
      <c r="E134" s="2" t="s">
        <v>395</v>
      </c>
      <c r="F134" s="51">
        <v>3</v>
      </c>
      <c r="G134" s="52">
        <v>0</v>
      </c>
      <c r="H134" s="51">
        <f t="shared" si="20"/>
        <v>0</v>
      </c>
      <c r="J134" s="41"/>
      <c r="Z134" s="51">
        <f t="shared" si="21"/>
        <v>0</v>
      </c>
      <c r="AB134" s="51">
        <f t="shared" si="22"/>
        <v>0</v>
      </c>
      <c r="AC134" s="51">
        <f t="shared" si="23"/>
        <v>0</v>
      </c>
      <c r="AD134" s="51">
        <f t="shared" si="24"/>
        <v>0</v>
      </c>
      <c r="AE134" s="51">
        <f t="shared" si="25"/>
        <v>0</v>
      </c>
      <c r="AF134" s="51">
        <f t="shared" si="26"/>
        <v>0</v>
      </c>
      <c r="AG134" s="51">
        <f t="shared" si="27"/>
        <v>0</v>
      </c>
      <c r="AH134" s="51">
        <f t="shared" si="28"/>
        <v>0</v>
      </c>
      <c r="AI134" s="35" t="s">
        <v>4</v>
      </c>
      <c r="AJ134" s="51">
        <f t="shared" si="29"/>
        <v>0</v>
      </c>
      <c r="AK134" s="51">
        <f t="shared" si="30"/>
        <v>0</v>
      </c>
      <c r="AL134" s="51">
        <f t="shared" si="31"/>
        <v>0</v>
      </c>
      <c r="AN134" s="51">
        <v>12</v>
      </c>
      <c r="AO134" s="51">
        <f>G134*0.503040847</f>
        <v>0</v>
      </c>
      <c r="AP134" s="51">
        <f>G134*(1-0.503040847)</f>
        <v>0</v>
      </c>
      <c r="AQ134" s="53" t="s">
        <v>148</v>
      </c>
      <c r="AV134" s="51">
        <f t="shared" si="32"/>
        <v>0</v>
      </c>
      <c r="AW134" s="51">
        <f t="shared" si="33"/>
        <v>0</v>
      </c>
      <c r="AX134" s="51">
        <f t="shared" si="34"/>
        <v>0</v>
      </c>
      <c r="AY134" s="53" t="s">
        <v>382</v>
      </c>
      <c r="AZ134" s="53" t="s">
        <v>349</v>
      </c>
      <c r="BA134" s="35" t="s">
        <v>117</v>
      </c>
      <c r="BC134" s="51">
        <f t="shared" si="35"/>
        <v>0</v>
      </c>
      <c r="BD134" s="51">
        <f t="shared" si="36"/>
        <v>0</v>
      </c>
      <c r="BE134" s="51">
        <v>0</v>
      </c>
      <c r="BF134" s="51">
        <f>134</f>
        <v>134</v>
      </c>
      <c r="BH134" s="51">
        <f t="shared" si="37"/>
        <v>0</v>
      </c>
      <c r="BI134" s="51">
        <f t="shared" si="38"/>
        <v>0</v>
      </c>
      <c r="BJ134" s="51">
        <f t="shared" si="39"/>
        <v>0</v>
      </c>
      <c r="BK134" s="53" t="s">
        <v>118</v>
      </c>
      <c r="BL134" s="51">
        <v>722</v>
      </c>
      <c r="BW134" s="51">
        <v>12</v>
      </c>
      <c r="BX134" s="3" t="s">
        <v>394</v>
      </c>
    </row>
    <row r="135" spans="1:76">
      <c r="A135" s="1" t="s">
        <v>146</v>
      </c>
      <c r="B135" s="2" t="s">
        <v>396</v>
      </c>
      <c r="C135" s="75" t="s">
        <v>397</v>
      </c>
      <c r="D135" s="70"/>
      <c r="E135" s="2" t="s">
        <v>140</v>
      </c>
      <c r="F135" s="51">
        <v>12.5</v>
      </c>
      <c r="G135" s="52">
        <v>0</v>
      </c>
      <c r="H135" s="51">
        <f t="shared" si="20"/>
        <v>0</v>
      </c>
      <c r="J135" s="41"/>
      <c r="Z135" s="51">
        <f t="shared" si="21"/>
        <v>0</v>
      </c>
      <c r="AB135" s="51">
        <f t="shared" si="22"/>
        <v>0</v>
      </c>
      <c r="AC135" s="51">
        <f t="shared" si="23"/>
        <v>0</v>
      </c>
      <c r="AD135" s="51">
        <f t="shared" si="24"/>
        <v>0</v>
      </c>
      <c r="AE135" s="51">
        <f t="shared" si="25"/>
        <v>0</v>
      </c>
      <c r="AF135" s="51">
        <f t="shared" si="26"/>
        <v>0</v>
      </c>
      <c r="AG135" s="51">
        <f t="shared" si="27"/>
        <v>0</v>
      </c>
      <c r="AH135" s="51">
        <f t="shared" si="28"/>
        <v>0</v>
      </c>
      <c r="AI135" s="35" t="s">
        <v>4</v>
      </c>
      <c r="AJ135" s="51">
        <f t="shared" si="29"/>
        <v>0</v>
      </c>
      <c r="AK135" s="51">
        <f t="shared" si="30"/>
        <v>0</v>
      </c>
      <c r="AL135" s="51">
        <f t="shared" si="31"/>
        <v>0</v>
      </c>
      <c r="AN135" s="51">
        <v>12</v>
      </c>
      <c r="AO135" s="51">
        <f>G135*0.403959712</f>
        <v>0</v>
      </c>
      <c r="AP135" s="51">
        <f>G135*(1-0.403959712)</f>
        <v>0</v>
      </c>
      <c r="AQ135" s="53" t="s">
        <v>148</v>
      </c>
      <c r="AV135" s="51">
        <f t="shared" si="32"/>
        <v>0</v>
      </c>
      <c r="AW135" s="51">
        <f t="shared" si="33"/>
        <v>0</v>
      </c>
      <c r="AX135" s="51">
        <f t="shared" si="34"/>
        <v>0</v>
      </c>
      <c r="AY135" s="53" t="s">
        <v>382</v>
      </c>
      <c r="AZ135" s="53" t="s">
        <v>349</v>
      </c>
      <c r="BA135" s="35" t="s">
        <v>117</v>
      </c>
      <c r="BC135" s="51">
        <f t="shared" si="35"/>
        <v>0</v>
      </c>
      <c r="BD135" s="51">
        <f t="shared" si="36"/>
        <v>0</v>
      </c>
      <c r="BE135" s="51">
        <v>0</v>
      </c>
      <c r="BF135" s="51">
        <f>135</f>
        <v>135</v>
      </c>
      <c r="BH135" s="51">
        <f t="shared" si="37"/>
        <v>0</v>
      </c>
      <c r="BI135" s="51">
        <f t="shared" si="38"/>
        <v>0</v>
      </c>
      <c r="BJ135" s="51">
        <f t="shared" si="39"/>
        <v>0</v>
      </c>
      <c r="BK135" s="53" t="s">
        <v>118</v>
      </c>
      <c r="BL135" s="51">
        <v>722</v>
      </c>
      <c r="BW135" s="51">
        <v>12</v>
      </c>
      <c r="BX135" s="3" t="s">
        <v>397</v>
      </c>
    </row>
    <row r="136" spans="1:76" ht="13.5" customHeight="1">
      <c r="A136" s="54"/>
      <c r="B136" s="55" t="s">
        <v>119</v>
      </c>
      <c r="C136" s="152" t="s">
        <v>398</v>
      </c>
      <c r="D136" s="153"/>
      <c r="E136" s="153"/>
      <c r="F136" s="153"/>
      <c r="G136" s="154"/>
      <c r="H136" s="153"/>
      <c r="I136" s="153"/>
      <c r="J136" s="155"/>
    </row>
    <row r="137" spans="1:76">
      <c r="A137" s="1" t="s">
        <v>399</v>
      </c>
      <c r="B137" s="2" t="s">
        <v>400</v>
      </c>
      <c r="C137" s="75" t="s">
        <v>401</v>
      </c>
      <c r="D137" s="70"/>
      <c r="E137" s="2" t="s">
        <v>114</v>
      </c>
      <c r="F137" s="51">
        <v>5</v>
      </c>
      <c r="G137" s="52">
        <v>0</v>
      </c>
      <c r="H137" s="51">
        <f>ROUND(F137*G137,2)</f>
        <v>0</v>
      </c>
      <c r="J137" s="41"/>
      <c r="Z137" s="51">
        <f>ROUND(IF(AQ137="5",BJ137,0),2)</f>
        <v>0</v>
      </c>
      <c r="AB137" s="51">
        <f>ROUND(IF(AQ137="1",BH137,0),2)</f>
        <v>0</v>
      </c>
      <c r="AC137" s="51">
        <f>ROUND(IF(AQ137="1",BI137,0),2)</f>
        <v>0</v>
      </c>
      <c r="AD137" s="51">
        <f>ROUND(IF(AQ137="7",BH137,0),2)</f>
        <v>0</v>
      </c>
      <c r="AE137" s="51">
        <f>ROUND(IF(AQ137="7",BI137,0),2)</f>
        <v>0</v>
      </c>
      <c r="AF137" s="51">
        <f>ROUND(IF(AQ137="2",BH137,0),2)</f>
        <v>0</v>
      </c>
      <c r="AG137" s="51">
        <f>ROUND(IF(AQ137="2",BI137,0),2)</f>
        <v>0</v>
      </c>
      <c r="AH137" s="51">
        <f>ROUND(IF(AQ137="0",BJ137,0),2)</f>
        <v>0</v>
      </c>
      <c r="AI137" s="35" t="s">
        <v>4</v>
      </c>
      <c r="AJ137" s="51">
        <f>IF(AN137=0,H137,0)</f>
        <v>0</v>
      </c>
      <c r="AK137" s="51">
        <f>IF(AN137=12,H137,0)</f>
        <v>0</v>
      </c>
      <c r="AL137" s="51">
        <f>IF(AN137=21,H137,0)</f>
        <v>0</v>
      </c>
      <c r="AN137" s="51">
        <v>12</v>
      </c>
      <c r="AO137" s="51">
        <f>G137*0</f>
        <v>0</v>
      </c>
      <c r="AP137" s="51">
        <f>G137*(1-0)</f>
        <v>0</v>
      </c>
      <c r="AQ137" s="53" t="s">
        <v>148</v>
      </c>
      <c r="AV137" s="51">
        <f>ROUND(AW137+AX137,2)</f>
        <v>0</v>
      </c>
      <c r="AW137" s="51">
        <f>ROUND(F137*AO137,2)</f>
        <v>0</v>
      </c>
      <c r="AX137" s="51">
        <f>ROUND(F137*AP137,2)</f>
        <v>0</v>
      </c>
      <c r="AY137" s="53" t="s">
        <v>382</v>
      </c>
      <c r="AZ137" s="53" t="s">
        <v>349</v>
      </c>
      <c r="BA137" s="35" t="s">
        <v>117</v>
      </c>
      <c r="BC137" s="51">
        <f>AW137+AX137</f>
        <v>0</v>
      </c>
      <c r="BD137" s="51">
        <f>G137/(100-BE137)*100</f>
        <v>0</v>
      </c>
      <c r="BE137" s="51">
        <v>0</v>
      </c>
      <c r="BF137" s="51">
        <f>137</f>
        <v>137</v>
      </c>
      <c r="BH137" s="51">
        <f>F137*AO137</f>
        <v>0</v>
      </c>
      <c r="BI137" s="51">
        <f>F137*AP137</f>
        <v>0</v>
      </c>
      <c r="BJ137" s="51">
        <f>F137*G137</f>
        <v>0</v>
      </c>
      <c r="BK137" s="53" t="s">
        <v>118</v>
      </c>
      <c r="BL137" s="51">
        <v>722</v>
      </c>
      <c r="BW137" s="51">
        <v>12</v>
      </c>
      <c r="BX137" s="3" t="s">
        <v>401</v>
      </c>
    </row>
    <row r="138" spans="1:76">
      <c r="A138" s="1" t="s">
        <v>217</v>
      </c>
      <c r="B138" s="2" t="s">
        <v>402</v>
      </c>
      <c r="C138" s="75" t="s">
        <v>403</v>
      </c>
      <c r="D138" s="70"/>
      <c r="E138" s="2" t="s">
        <v>140</v>
      </c>
      <c r="F138" s="51">
        <v>12.5</v>
      </c>
      <c r="G138" s="52">
        <v>0</v>
      </c>
      <c r="H138" s="51">
        <f>ROUND(F138*G138,2)</f>
        <v>0</v>
      </c>
      <c r="J138" s="41"/>
      <c r="Z138" s="51">
        <f>ROUND(IF(AQ138="5",BJ138,0),2)</f>
        <v>0</v>
      </c>
      <c r="AB138" s="51">
        <f>ROUND(IF(AQ138="1",BH138,0),2)</f>
        <v>0</v>
      </c>
      <c r="AC138" s="51">
        <f>ROUND(IF(AQ138="1",BI138,0),2)</f>
        <v>0</v>
      </c>
      <c r="AD138" s="51">
        <f>ROUND(IF(AQ138="7",BH138,0),2)</f>
        <v>0</v>
      </c>
      <c r="AE138" s="51">
        <f>ROUND(IF(AQ138="7",BI138,0),2)</f>
        <v>0</v>
      </c>
      <c r="AF138" s="51">
        <f>ROUND(IF(AQ138="2",BH138,0),2)</f>
        <v>0</v>
      </c>
      <c r="AG138" s="51">
        <f>ROUND(IF(AQ138="2",BI138,0),2)</f>
        <v>0</v>
      </c>
      <c r="AH138" s="51">
        <f>ROUND(IF(AQ138="0",BJ138,0),2)</f>
        <v>0</v>
      </c>
      <c r="AI138" s="35" t="s">
        <v>4</v>
      </c>
      <c r="AJ138" s="51">
        <f>IF(AN138=0,H138,0)</f>
        <v>0</v>
      </c>
      <c r="AK138" s="51">
        <f>IF(AN138=12,H138,0)</f>
        <v>0</v>
      </c>
      <c r="AL138" s="51">
        <f>IF(AN138=21,H138,0)</f>
        <v>0</v>
      </c>
      <c r="AN138" s="51">
        <v>12</v>
      </c>
      <c r="AO138" s="51">
        <f>G138*0.047054705</f>
        <v>0</v>
      </c>
      <c r="AP138" s="51">
        <f>G138*(1-0.047054705)</f>
        <v>0</v>
      </c>
      <c r="AQ138" s="53" t="s">
        <v>148</v>
      </c>
      <c r="AV138" s="51">
        <f>ROUND(AW138+AX138,2)</f>
        <v>0</v>
      </c>
      <c r="AW138" s="51">
        <f>ROUND(F138*AO138,2)</f>
        <v>0</v>
      </c>
      <c r="AX138" s="51">
        <f>ROUND(F138*AP138,2)</f>
        <v>0</v>
      </c>
      <c r="AY138" s="53" t="s">
        <v>382</v>
      </c>
      <c r="AZ138" s="53" t="s">
        <v>349</v>
      </c>
      <c r="BA138" s="35" t="s">
        <v>117</v>
      </c>
      <c r="BC138" s="51">
        <f>AW138+AX138</f>
        <v>0</v>
      </c>
      <c r="BD138" s="51">
        <f>G138/(100-BE138)*100</f>
        <v>0</v>
      </c>
      <c r="BE138" s="51">
        <v>0</v>
      </c>
      <c r="BF138" s="51">
        <f>138</f>
        <v>138</v>
      </c>
      <c r="BH138" s="51">
        <f>F138*AO138</f>
        <v>0</v>
      </c>
      <c r="BI138" s="51">
        <f>F138*AP138</f>
        <v>0</v>
      </c>
      <c r="BJ138" s="51">
        <f>F138*G138</f>
        <v>0</v>
      </c>
      <c r="BK138" s="53" t="s">
        <v>118</v>
      </c>
      <c r="BL138" s="51">
        <v>722</v>
      </c>
      <c r="BW138" s="51">
        <v>12</v>
      </c>
      <c r="BX138" s="3" t="s">
        <v>403</v>
      </c>
    </row>
    <row r="139" spans="1:76">
      <c r="A139" s="1" t="s">
        <v>404</v>
      </c>
      <c r="B139" s="2" t="s">
        <v>405</v>
      </c>
      <c r="C139" s="75" t="s">
        <v>406</v>
      </c>
      <c r="D139" s="70"/>
      <c r="E139" s="2" t="s">
        <v>140</v>
      </c>
      <c r="F139" s="51">
        <v>12.5</v>
      </c>
      <c r="G139" s="52">
        <v>0</v>
      </c>
      <c r="H139" s="51">
        <f>ROUND(F139*G139,2)</f>
        <v>0</v>
      </c>
      <c r="J139" s="41"/>
      <c r="Z139" s="51">
        <f>ROUND(IF(AQ139="5",BJ139,0),2)</f>
        <v>0</v>
      </c>
      <c r="AB139" s="51">
        <f>ROUND(IF(AQ139="1",BH139,0),2)</f>
        <v>0</v>
      </c>
      <c r="AC139" s="51">
        <f>ROUND(IF(AQ139="1",BI139,0),2)</f>
        <v>0</v>
      </c>
      <c r="AD139" s="51">
        <f>ROUND(IF(AQ139="7",BH139,0),2)</f>
        <v>0</v>
      </c>
      <c r="AE139" s="51">
        <f>ROUND(IF(AQ139="7",BI139,0),2)</f>
        <v>0</v>
      </c>
      <c r="AF139" s="51">
        <f>ROUND(IF(AQ139="2",BH139,0),2)</f>
        <v>0</v>
      </c>
      <c r="AG139" s="51">
        <f>ROUND(IF(AQ139="2",BI139,0),2)</f>
        <v>0</v>
      </c>
      <c r="AH139" s="51">
        <f>ROUND(IF(AQ139="0",BJ139,0),2)</f>
        <v>0</v>
      </c>
      <c r="AI139" s="35" t="s">
        <v>4</v>
      </c>
      <c r="AJ139" s="51">
        <f>IF(AN139=0,H139,0)</f>
        <v>0</v>
      </c>
      <c r="AK139" s="51">
        <f>IF(AN139=12,H139,0)</f>
        <v>0</v>
      </c>
      <c r="AL139" s="51">
        <f>IF(AN139=21,H139,0)</f>
        <v>0</v>
      </c>
      <c r="AN139" s="51">
        <v>12</v>
      </c>
      <c r="AO139" s="51">
        <f>G139*0.01352657</f>
        <v>0</v>
      </c>
      <c r="AP139" s="51">
        <f>G139*(1-0.01352657)</f>
        <v>0</v>
      </c>
      <c r="AQ139" s="53" t="s">
        <v>148</v>
      </c>
      <c r="AV139" s="51">
        <f>ROUND(AW139+AX139,2)</f>
        <v>0</v>
      </c>
      <c r="AW139" s="51">
        <f>ROUND(F139*AO139,2)</f>
        <v>0</v>
      </c>
      <c r="AX139" s="51">
        <f>ROUND(F139*AP139,2)</f>
        <v>0</v>
      </c>
      <c r="AY139" s="53" t="s">
        <v>382</v>
      </c>
      <c r="AZ139" s="53" t="s">
        <v>349</v>
      </c>
      <c r="BA139" s="35" t="s">
        <v>117</v>
      </c>
      <c r="BC139" s="51">
        <f>AW139+AX139</f>
        <v>0</v>
      </c>
      <c r="BD139" s="51">
        <f>G139/(100-BE139)*100</f>
        <v>0</v>
      </c>
      <c r="BE139" s="51">
        <v>0</v>
      </c>
      <c r="BF139" s="51">
        <f>139</f>
        <v>139</v>
      </c>
      <c r="BH139" s="51">
        <f>F139*AO139</f>
        <v>0</v>
      </c>
      <c r="BI139" s="51">
        <f>F139*AP139</f>
        <v>0</v>
      </c>
      <c r="BJ139" s="51">
        <f>F139*G139</f>
        <v>0</v>
      </c>
      <c r="BK139" s="53" t="s">
        <v>118</v>
      </c>
      <c r="BL139" s="51">
        <v>722</v>
      </c>
      <c r="BW139" s="51">
        <v>12</v>
      </c>
      <c r="BX139" s="3" t="s">
        <v>406</v>
      </c>
    </row>
    <row r="140" spans="1:76">
      <c r="A140" s="1" t="s">
        <v>407</v>
      </c>
      <c r="B140" s="2" t="s">
        <v>408</v>
      </c>
      <c r="C140" s="75" t="s">
        <v>409</v>
      </c>
      <c r="D140" s="70"/>
      <c r="E140" s="2" t="s">
        <v>281</v>
      </c>
      <c r="F140" s="51">
        <v>3.6999999999999998E-2</v>
      </c>
      <c r="G140" s="52">
        <v>0</v>
      </c>
      <c r="H140" s="51">
        <f>ROUND(F140*G140,2)</f>
        <v>0</v>
      </c>
      <c r="J140" s="41"/>
      <c r="Z140" s="51">
        <f>ROUND(IF(AQ140="5",BJ140,0),2)</f>
        <v>0</v>
      </c>
      <c r="AB140" s="51">
        <f>ROUND(IF(AQ140="1",BH140,0),2)</f>
        <v>0</v>
      </c>
      <c r="AC140" s="51">
        <f>ROUND(IF(AQ140="1",BI140,0),2)</f>
        <v>0</v>
      </c>
      <c r="AD140" s="51">
        <f>ROUND(IF(AQ140="7",BH140,0),2)</f>
        <v>0</v>
      </c>
      <c r="AE140" s="51">
        <f>ROUND(IF(AQ140="7",BI140,0),2)</f>
        <v>0</v>
      </c>
      <c r="AF140" s="51">
        <f>ROUND(IF(AQ140="2",BH140,0),2)</f>
        <v>0</v>
      </c>
      <c r="AG140" s="51">
        <f>ROUND(IF(AQ140="2",BI140,0),2)</f>
        <v>0</v>
      </c>
      <c r="AH140" s="51">
        <f>ROUND(IF(AQ140="0",BJ140,0),2)</f>
        <v>0</v>
      </c>
      <c r="AI140" s="35" t="s">
        <v>4</v>
      </c>
      <c r="AJ140" s="51">
        <f>IF(AN140=0,H140,0)</f>
        <v>0</v>
      </c>
      <c r="AK140" s="51">
        <f>IF(AN140=12,H140,0)</f>
        <v>0</v>
      </c>
      <c r="AL140" s="51">
        <f>IF(AN140=21,H140,0)</f>
        <v>0</v>
      </c>
      <c r="AN140" s="51">
        <v>12</v>
      </c>
      <c r="AO140" s="51">
        <f>G140*0</f>
        <v>0</v>
      </c>
      <c r="AP140" s="51">
        <f>G140*(1-0)</f>
        <v>0</v>
      </c>
      <c r="AQ140" s="53" t="s">
        <v>137</v>
      </c>
      <c r="AV140" s="51">
        <f>ROUND(AW140+AX140,2)</f>
        <v>0</v>
      </c>
      <c r="AW140" s="51">
        <f>ROUND(F140*AO140,2)</f>
        <v>0</v>
      </c>
      <c r="AX140" s="51">
        <f>ROUND(F140*AP140,2)</f>
        <v>0</v>
      </c>
      <c r="AY140" s="53" t="s">
        <v>382</v>
      </c>
      <c r="AZ140" s="53" t="s">
        <v>349</v>
      </c>
      <c r="BA140" s="35" t="s">
        <v>117</v>
      </c>
      <c r="BC140" s="51">
        <f>AW140+AX140</f>
        <v>0</v>
      </c>
      <c r="BD140" s="51">
        <f>G140/(100-BE140)*100</f>
        <v>0</v>
      </c>
      <c r="BE140" s="51">
        <v>0</v>
      </c>
      <c r="BF140" s="51">
        <f>140</f>
        <v>140</v>
      </c>
      <c r="BH140" s="51">
        <f>F140*AO140</f>
        <v>0</v>
      </c>
      <c r="BI140" s="51">
        <f>F140*AP140</f>
        <v>0</v>
      </c>
      <c r="BJ140" s="51">
        <f>F140*G140</f>
        <v>0</v>
      </c>
      <c r="BK140" s="53" t="s">
        <v>118</v>
      </c>
      <c r="BL140" s="51">
        <v>722</v>
      </c>
      <c r="BW140" s="51">
        <v>12</v>
      </c>
      <c r="BX140" s="3" t="s">
        <v>409</v>
      </c>
    </row>
    <row r="141" spans="1:76">
      <c r="A141" s="47" t="s">
        <v>4</v>
      </c>
      <c r="B141" s="48" t="s">
        <v>410</v>
      </c>
      <c r="C141" s="150" t="s">
        <v>411</v>
      </c>
      <c r="D141" s="151"/>
      <c r="E141" s="49" t="s">
        <v>79</v>
      </c>
      <c r="F141" s="49" t="s">
        <v>79</v>
      </c>
      <c r="G141" s="50" t="s">
        <v>79</v>
      </c>
      <c r="H141" s="28">
        <f>SUM(H142:H159)</f>
        <v>0</v>
      </c>
      <c r="J141" s="41"/>
      <c r="AI141" s="35" t="s">
        <v>4</v>
      </c>
      <c r="AS141" s="28">
        <f>SUM(AJ142:AJ159)</f>
        <v>0</v>
      </c>
      <c r="AT141" s="28">
        <f>SUM(AK142:AK159)</f>
        <v>0</v>
      </c>
      <c r="AU141" s="28">
        <f>SUM(AL142:AL159)</f>
        <v>0</v>
      </c>
    </row>
    <row r="142" spans="1:76">
      <c r="A142" s="1" t="s">
        <v>412</v>
      </c>
      <c r="B142" s="2" t="s">
        <v>413</v>
      </c>
      <c r="C142" s="75" t="s">
        <v>414</v>
      </c>
      <c r="D142" s="70"/>
      <c r="E142" s="2" t="s">
        <v>415</v>
      </c>
      <c r="F142" s="51">
        <v>1</v>
      </c>
      <c r="G142" s="52">
        <v>0</v>
      </c>
      <c r="H142" s="51">
        <f t="shared" ref="H142:H148" si="40">ROUND(F142*G142,2)</f>
        <v>0</v>
      </c>
      <c r="J142" s="41"/>
      <c r="Z142" s="51">
        <f t="shared" ref="Z142:Z148" si="41">ROUND(IF(AQ142="5",BJ142,0),2)</f>
        <v>0</v>
      </c>
      <c r="AB142" s="51">
        <f t="shared" ref="AB142:AB148" si="42">ROUND(IF(AQ142="1",BH142,0),2)</f>
        <v>0</v>
      </c>
      <c r="AC142" s="51">
        <f t="shared" ref="AC142:AC148" si="43">ROUND(IF(AQ142="1",BI142,0),2)</f>
        <v>0</v>
      </c>
      <c r="AD142" s="51">
        <f t="shared" ref="AD142:AD148" si="44">ROUND(IF(AQ142="7",BH142,0),2)</f>
        <v>0</v>
      </c>
      <c r="AE142" s="51">
        <f t="shared" ref="AE142:AE148" si="45">ROUND(IF(AQ142="7",BI142,0),2)</f>
        <v>0</v>
      </c>
      <c r="AF142" s="51">
        <f t="shared" ref="AF142:AF148" si="46">ROUND(IF(AQ142="2",BH142,0),2)</f>
        <v>0</v>
      </c>
      <c r="AG142" s="51">
        <f t="shared" ref="AG142:AG148" si="47">ROUND(IF(AQ142="2",BI142,0),2)</f>
        <v>0</v>
      </c>
      <c r="AH142" s="51">
        <f t="shared" ref="AH142:AH148" si="48">ROUND(IF(AQ142="0",BJ142,0),2)</f>
        <v>0</v>
      </c>
      <c r="AI142" s="35" t="s">
        <v>4</v>
      </c>
      <c r="AJ142" s="51">
        <f t="shared" ref="AJ142:AJ148" si="49">IF(AN142=0,H142,0)</f>
        <v>0</v>
      </c>
      <c r="AK142" s="51">
        <f t="shared" ref="AK142:AK148" si="50">IF(AN142=12,H142,0)</f>
        <v>0</v>
      </c>
      <c r="AL142" s="51">
        <f t="shared" ref="AL142:AL148" si="51">IF(AN142=21,H142,0)</f>
        <v>0</v>
      </c>
      <c r="AN142" s="51">
        <v>12</v>
      </c>
      <c r="AO142" s="51">
        <f>G142*0.136845966</f>
        <v>0</v>
      </c>
      <c r="AP142" s="51">
        <f>G142*(1-0.136845966)</f>
        <v>0</v>
      </c>
      <c r="AQ142" s="53" t="s">
        <v>148</v>
      </c>
      <c r="AV142" s="51">
        <f t="shared" ref="AV142:AV148" si="52">ROUND(AW142+AX142,2)</f>
        <v>0</v>
      </c>
      <c r="AW142" s="51">
        <f t="shared" ref="AW142:AW148" si="53">ROUND(F142*AO142,2)</f>
        <v>0</v>
      </c>
      <c r="AX142" s="51">
        <f t="shared" ref="AX142:AX148" si="54">ROUND(F142*AP142,2)</f>
        <v>0</v>
      </c>
      <c r="AY142" s="53" t="s">
        <v>416</v>
      </c>
      <c r="AZ142" s="53" t="s">
        <v>349</v>
      </c>
      <c r="BA142" s="35" t="s">
        <v>117</v>
      </c>
      <c r="BC142" s="51">
        <f t="shared" ref="BC142:BC148" si="55">AW142+AX142</f>
        <v>0</v>
      </c>
      <c r="BD142" s="51">
        <f t="shared" ref="BD142:BD148" si="56">G142/(100-BE142)*100</f>
        <v>0</v>
      </c>
      <c r="BE142" s="51">
        <v>0</v>
      </c>
      <c r="BF142" s="51">
        <f>142</f>
        <v>142</v>
      </c>
      <c r="BH142" s="51">
        <f t="shared" ref="BH142:BH148" si="57">F142*AO142</f>
        <v>0</v>
      </c>
      <c r="BI142" s="51">
        <f t="shared" ref="BI142:BI148" si="58">F142*AP142</f>
        <v>0</v>
      </c>
      <c r="BJ142" s="51">
        <f t="shared" ref="BJ142:BJ148" si="59">F142*G142</f>
        <v>0</v>
      </c>
      <c r="BK142" s="53" t="s">
        <v>118</v>
      </c>
      <c r="BL142" s="51">
        <v>725</v>
      </c>
      <c r="BW142" s="51">
        <v>12</v>
      </c>
      <c r="BX142" s="3" t="s">
        <v>414</v>
      </c>
    </row>
    <row r="143" spans="1:76">
      <c r="A143" s="1" t="s">
        <v>417</v>
      </c>
      <c r="B143" s="2" t="s">
        <v>418</v>
      </c>
      <c r="C143" s="75" t="s">
        <v>419</v>
      </c>
      <c r="D143" s="70"/>
      <c r="E143" s="2" t="s">
        <v>415</v>
      </c>
      <c r="F143" s="51">
        <v>1</v>
      </c>
      <c r="G143" s="52">
        <v>0</v>
      </c>
      <c r="H143" s="51">
        <f t="shared" si="40"/>
        <v>0</v>
      </c>
      <c r="J143" s="41"/>
      <c r="Z143" s="51">
        <f t="shared" si="41"/>
        <v>0</v>
      </c>
      <c r="AB143" s="51">
        <f t="shared" si="42"/>
        <v>0</v>
      </c>
      <c r="AC143" s="51">
        <f t="shared" si="43"/>
        <v>0</v>
      </c>
      <c r="AD143" s="51">
        <f t="shared" si="44"/>
        <v>0</v>
      </c>
      <c r="AE143" s="51">
        <f t="shared" si="45"/>
        <v>0</v>
      </c>
      <c r="AF143" s="51">
        <f t="shared" si="46"/>
        <v>0</v>
      </c>
      <c r="AG143" s="51">
        <f t="shared" si="47"/>
        <v>0</v>
      </c>
      <c r="AH143" s="51">
        <f t="shared" si="48"/>
        <v>0</v>
      </c>
      <c r="AI143" s="35" t="s">
        <v>4</v>
      </c>
      <c r="AJ143" s="51">
        <f t="shared" si="49"/>
        <v>0</v>
      </c>
      <c r="AK143" s="51">
        <f t="shared" si="50"/>
        <v>0</v>
      </c>
      <c r="AL143" s="51">
        <f t="shared" si="51"/>
        <v>0</v>
      </c>
      <c r="AN143" s="51">
        <v>12</v>
      </c>
      <c r="AO143" s="51">
        <f>G143*0.764232955</f>
        <v>0</v>
      </c>
      <c r="AP143" s="51">
        <f>G143*(1-0.764232955)</f>
        <v>0</v>
      </c>
      <c r="AQ143" s="53" t="s">
        <v>148</v>
      </c>
      <c r="AV143" s="51">
        <f t="shared" si="52"/>
        <v>0</v>
      </c>
      <c r="AW143" s="51">
        <f t="shared" si="53"/>
        <v>0</v>
      </c>
      <c r="AX143" s="51">
        <f t="shared" si="54"/>
        <v>0</v>
      </c>
      <c r="AY143" s="53" t="s">
        <v>416</v>
      </c>
      <c r="AZ143" s="53" t="s">
        <v>349</v>
      </c>
      <c r="BA143" s="35" t="s">
        <v>117</v>
      </c>
      <c r="BC143" s="51">
        <f t="shared" si="55"/>
        <v>0</v>
      </c>
      <c r="BD143" s="51">
        <f t="shared" si="56"/>
        <v>0</v>
      </c>
      <c r="BE143" s="51">
        <v>0</v>
      </c>
      <c r="BF143" s="51">
        <f>143</f>
        <v>143</v>
      </c>
      <c r="BH143" s="51">
        <f t="shared" si="57"/>
        <v>0</v>
      </c>
      <c r="BI143" s="51">
        <f t="shared" si="58"/>
        <v>0</v>
      </c>
      <c r="BJ143" s="51">
        <f t="shared" si="59"/>
        <v>0</v>
      </c>
      <c r="BK143" s="53" t="s">
        <v>118</v>
      </c>
      <c r="BL143" s="51">
        <v>725</v>
      </c>
      <c r="BW143" s="51">
        <v>12</v>
      </c>
      <c r="BX143" s="3" t="s">
        <v>419</v>
      </c>
    </row>
    <row r="144" spans="1:76">
      <c r="A144" s="1" t="s">
        <v>420</v>
      </c>
      <c r="B144" s="2" t="s">
        <v>421</v>
      </c>
      <c r="C144" s="75" t="s">
        <v>422</v>
      </c>
      <c r="D144" s="70"/>
      <c r="E144" s="2" t="s">
        <v>114</v>
      </c>
      <c r="F144" s="51">
        <v>1</v>
      </c>
      <c r="G144" s="52">
        <v>0</v>
      </c>
      <c r="H144" s="51">
        <f t="shared" si="40"/>
        <v>0</v>
      </c>
      <c r="J144" s="41"/>
      <c r="Z144" s="51">
        <f t="shared" si="41"/>
        <v>0</v>
      </c>
      <c r="AB144" s="51">
        <f t="shared" si="42"/>
        <v>0</v>
      </c>
      <c r="AC144" s="51">
        <f t="shared" si="43"/>
        <v>0</v>
      </c>
      <c r="AD144" s="51">
        <f t="shared" si="44"/>
        <v>0</v>
      </c>
      <c r="AE144" s="51">
        <f t="shared" si="45"/>
        <v>0</v>
      </c>
      <c r="AF144" s="51">
        <f t="shared" si="46"/>
        <v>0</v>
      </c>
      <c r="AG144" s="51">
        <f t="shared" si="47"/>
        <v>0</v>
      </c>
      <c r="AH144" s="51">
        <f t="shared" si="48"/>
        <v>0</v>
      </c>
      <c r="AI144" s="35" t="s">
        <v>4</v>
      </c>
      <c r="AJ144" s="51">
        <f t="shared" si="49"/>
        <v>0</v>
      </c>
      <c r="AK144" s="51">
        <f t="shared" si="50"/>
        <v>0</v>
      </c>
      <c r="AL144" s="51">
        <f t="shared" si="51"/>
        <v>0</v>
      </c>
      <c r="AN144" s="51">
        <v>12</v>
      </c>
      <c r="AO144" s="51">
        <f>G144*0.633629557</f>
        <v>0</v>
      </c>
      <c r="AP144" s="51">
        <f>G144*(1-0.633629557)</f>
        <v>0</v>
      </c>
      <c r="AQ144" s="53" t="s">
        <v>148</v>
      </c>
      <c r="AV144" s="51">
        <f t="shared" si="52"/>
        <v>0</v>
      </c>
      <c r="AW144" s="51">
        <f t="shared" si="53"/>
        <v>0</v>
      </c>
      <c r="AX144" s="51">
        <f t="shared" si="54"/>
        <v>0</v>
      </c>
      <c r="AY144" s="53" t="s">
        <v>416</v>
      </c>
      <c r="AZ144" s="53" t="s">
        <v>349</v>
      </c>
      <c r="BA144" s="35" t="s">
        <v>117</v>
      </c>
      <c r="BC144" s="51">
        <f t="shared" si="55"/>
        <v>0</v>
      </c>
      <c r="BD144" s="51">
        <f t="shared" si="56"/>
        <v>0</v>
      </c>
      <c r="BE144" s="51">
        <v>0</v>
      </c>
      <c r="BF144" s="51">
        <f>144</f>
        <v>144</v>
      </c>
      <c r="BH144" s="51">
        <f t="shared" si="57"/>
        <v>0</v>
      </c>
      <c r="BI144" s="51">
        <f t="shared" si="58"/>
        <v>0</v>
      </c>
      <c r="BJ144" s="51">
        <f t="shared" si="59"/>
        <v>0</v>
      </c>
      <c r="BK144" s="53" t="s">
        <v>118</v>
      </c>
      <c r="BL144" s="51">
        <v>725</v>
      </c>
      <c r="BW144" s="51">
        <v>12</v>
      </c>
      <c r="BX144" s="3" t="s">
        <v>422</v>
      </c>
    </row>
    <row r="145" spans="1:76">
      <c r="A145" s="1" t="s">
        <v>423</v>
      </c>
      <c r="B145" s="2" t="s">
        <v>424</v>
      </c>
      <c r="C145" s="75" t="s">
        <v>425</v>
      </c>
      <c r="D145" s="70"/>
      <c r="E145" s="2" t="s">
        <v>114</v>
      </c>
      <c r="F145" s="51">
        <v>1</v>
      </c>
      <c r="G145" s="52">
        <v>0</v>
      </c>
      <c r="H145" s="51">
        <f t="shared" si="40"/>
        <v>0</v>
      </c>
      <c r="J145" s="41"/>
      <c r="Z145" s="51">
        <f t="shared" si="41"/>
        <v>0</v>
      </c>
      <c r="AB145" s="51">
        <f t="shared" si="42"/>
        <v>0</v>
      </c>
      <c r="AC145" s="51">
        <f t="shared" si="43"/>
        <v>0</v>
      </c>
      <c r="AD145" s="51">
        <f t="shared" si="44"/>
        <v>0</v>
      </c>
      <c r="AE145" s="51">
        <f t="shared" si="45"/>
        <v>0</v>
      </c>
      <c r="AF145" s="51">
        <f t="shared" si="46"/>
        <v>0</v>
      </c>
      <c r="AG145" s="51">
        <f t="shared" si="47"/>
        <v>0</v>
      </c>
      <c r="AH145" s="51">
        <f t="shared" si="48"/>
        <v>0</v>
      </c>
      <c r="AI145" s="35" t="s">
        <v>4</v>
      </c>
      <c r="AJ145" s="51">
        <f t="shared" si="49"/>
        <v>0</v>
      </c>
      <c r="AK145" s="51">
        <f t="shared" si="50"/>
        <v>0</v>
      </c>
      <c r="AL145" s="51">
        <f t="shared" si="51"/>
        <v>0</v>
      </c>
      <c r="AN145" s="51">
        <v>12</v>
      </c>
      <c r="AO145" s="51">
        <f>G145*0.493416229</f>
        <v>0</v>
      </c>
      <c r="AP145" s="51">
        <f>G145*(1-0.493416229)</f>
        <v>0</v>
      </c>
      <c r="AQ145" s="53" t="s">
        <v>148</v>
      </c>
      <c r="AV145" s="51">
        <f t="shared" si="52"/>
        <v>0</v>
      </c>
      <c r="AW145" s="51">
        <f t="shared" si="53"/>
        <v>0</v>
      </c>
      <c r="AX145" s="51">
        <f t="shared" si="54"/>
        <v>0</v>
      </c>
      <c r="AY145" s="53" t="s">
        <v>416</v>
      </c>
      <c r="AZ145" s="53" t="s">
        <v>349</v>
      </c>
      <c r="BA145" s="35" t="s">
        <v>117</v>
      </c>
      <c r="BC145" s="51">
        <f t="shared" si="55"/>
        <v>0</v>
      </c>
      <c r="BD145" s="51">
        <f t="shared" si="56"/>
        <v>0</v>
      </c>
      <c r="BE145" s="51">
        <v>0</v>
      </c>
      <c r="BF145" s="51">
        <f>145</f>
        <v>145</v>
      </c>
      <c r="BH145" s="51">
        <f t="shared" si="57"/>
        <v>0</v>
      </c>
      <c r="BI145" s="51">
        <f t="shared" si="58"/>
        <v>0</v>
      </c>
      <c r="BJ145" s="51">
        <f t="shared" si="59"/>
        <v>0</v>
      </c>
      <c r="BK145" s="53" t="s">
        <v>118</v>
      </c>
      <c r="BL145" s="51">
        <v>725</v>
      </c>
      <c r="BW145" s="51">
        <v>12</v>
      </c>
      <c r="BX145" s="3" t="s">
        <v>425</v>
      </c>
    </row>
    <row r="146" spans="1:76">
      <c r="A146" s="1" t="s">
        <v>426</v>
      </c>
      <c r="B146" s="2" t="s">
        <v>427</v>
      </c>
      <c r="C146" s="75" t="s">
        <v>428</v>
      </c>
      <c r="D146" s="70"/>
      <c r="E146" s="2" t="s">
        <v>114</v>
      </c>
      <c r="F146" s="51">
        <v>2</v>
      </c>
      <c r="G146" s="52">
        <v>0</v>
      </c>
      <c r="H146" s="51">
        <f t="shared" si="40"/>
        <v>0</v>
      </c>
      <c r="J146" s="41"/>
      <c r="Z146" s="51">
        <f t="shared" si="41"/>
        <v>0</v>
      </c>
      <c r="AB146" s="51">
        <f t="shared" si="42"/>
        <v>0</v>
      </c>
      <c r="AC146" s="51">
        <f t="shared" si="43"/>
        <v>0</v>
      </c>
      <c r="AD146" s="51">
        <f t="shared" si="44"/>
        <v>0</v>
      </c>
      <c r="AE146" s="51">
        <f t="shared" si="45"/>
        <v>0</v>
      </c>
      <c r="AF146" s="51">
        <f t="shared" si="46"/>
        <v>0</v>
      </c>
      <c r="AG146" s="51">
        <f t="shared" si="47"/>
        <v>0</v>
      </c>
      <c r="AH146" s="51">
        <f t="shared" si="48"/>
        <v>0</v>
      </c>
      <c r="AI146" s="35" t="s">
        <v>4</v>
      </c>
      <c r="AJ146" s="51">
        <f t="shared" si="49"/>
        <v>0</v>
      </c>
      <c r="AK146" s="51">
        <f t="shared" si="50"/>
        <v>0</v>
      </c>
      <c r="AL146" s="51">
        <f t="shared" si="51"/>
        <v>0</v>
      </c>
      <c r="AN146" s="51">
        <v>12</v>
      </c>
      <c r="AO146" s="51">
        <f>G146*0.029006211</f>
        <v>0</v>
      </c>
      <c r="AP146" s="51">
        <f>G146*(1-0.029006211)</f>
        <v>0</v>
      </c>
      <c r="AQ146" s="53" t="s">
        <v>148</v>
      </c>
      <c r="AV146" s="51">
        <f t="shared" si="52"/>
        <v>0</v>
      </c>
      <c r="AW146" s="51">
        <f t="shared" si="53"/>
        <v>0</v>
      </c>
      <c r="AX146" s="51">
        <f t="shared" si="54"/>
        <v>0</v>
      </c>
      <c r="AY146" s="53" t="s">
        <v>416</v>
      </c>
      <c r="AZ146" s="53" t="s">
        <v>349</v>
      </c>
      <c r="BA146" s="35" t="s">
        <v>117</v>
      </c>
      <c r="BC146" s="51">
        <f t="shared" si="55"/>
        <v>0</v>
      </c>
      <c r="BD146" s="51">
        <f t="shared" si="56"/>
        <v>0</v>
      </c>
      <c r="BE146" s="51">
        <v>0</v>
      </c>
      <c r="BF146" s="51">
        <f>146</f>
        <v>146</v>
      </c>
      <c r="BH146" s="51">
        <f t="shared" si="57"/>
        <v>0</v>
      </c>
      <c r="BI146" s="51">
        <f t="shared" si="58"/>
        <v>0</v>
      </c>
      <c r="BJ146" s="51">
        <f t="shared" si="59"/>
        <v>0</v>
      </c>
      <c r="BK146" s="53" t="s">
        <v>118</v>
      </c>
      <c r="BL146" s="51">
        <v>725</v>
      </c>
      <c r="BW146" s="51">
        <v>12</v>
      </c>
      <c r="BX146" s="3" t="s">
        <v>428</v>
      </c>
    </row>
    <row r="147" spans="1:76">
      <c r="A147" s="1" t="s">
        <v>429</v>
      </c>
      <c r="B147" s="2" t="s">
        <v>430</v>
      </c>
      <c r="C147" s="75" t="s">
        <v>431</v>
      </c>
      <c r="D147" s="70"/>
      <c r="E147" s="2" t="s">
        <v>114</v>
      </c>
      <c r="F147" s="51">
        <v>1</v>
      </c>
      <c r="G147" s="52">
        <v>0</v>
      </c>
      <c r="H147" s="51">
        <f t="shared" si="40"/>
        <v>0</v>
      </c>
      <c r="J147" s="41"/>
      <c r="Z147" s="51">
        <f t="shared" si="41"/>
        <v>0</v>
      </c>
      <c r="AB147" s="51">
        <f t="shared" si="42"/>
        <v>0</v>
      </c>
      <c r="AC147" s="51">
        <f t="shared" si="43"/>
        <v>0</v>
      </c>
      <c r="AD147" s="51">
        <f t="shared" si="44"/>
        <v>0</v>
      </c>
      <c r="AE147" s="51">
        <f t="shared" si="45"/>
        <v>0</v>
      </c>
      <c r="AF147" s="51">
        <f t="shared" si="46"/>
        <v>0</v>
      </c>
      <c r="AG147" s="51">
        <f t="shared" si="47"/>
        <v>0</v>
      </c>
      <c r="AH147" s="51">
        <f t="shared" si="48"/>
        <v>0</v>
      </c>
      <c r="AI147" s="35" t="s">
        <v>4</v>
      </c>
      <c r="AJ147" s="51">
        <f t="shared" si="49"/>
        <v>0</v>
      </c>
      <c r="AK147" s="51">
        <f t="shared" si="50"/>
        <v>0</v>
      </c>
      <c r="AL147" s="51">
        <f t="shared" si="51"/>
        <v>0</v>
      </c>
      <c r="AN147" s="51">
        <v>12</v>
      </c>
      <c r="AO147" s="51">
        <f>G147*0.198566176</f>
        <v>0</v>
      </c>
      <c r="AP147" s="51">
        <f>G147*(1-0.198566176)</f>
        <v>0</v>
      </c>
      <c r="AQ147" s="53" t="s">
        <v>148</v>
      </c>
      <c r="AV147" s="51">
        <f t="shared" si="52"/>
        <v>0</v>
      </c>
      <c r="AW147" s="51">
        <f t="shared" si="53"/>
        <v>0</v>
      </c>
      <c r="AX147" s="51">
        <f t="shared" si="54"/>
        <v>0</v>
      </c>
      <c r="AY147" s="53" t="s">
        <v>416</v>
      </c>
      <c r="AZ147" s="53" t="s">
        <v>349</v>
      </c>
      <c r="BA147" s="35" t="s">
        <v>117</v>
      </c>
      <c r="BC147" s="51">
        <f t="shared" si="55"/>
        <v>0</v>
      </c>
      <c r="BD147" s="51">
        <f t="shared" si="56"/>
        <v>0</v>
      </c>
      <c r="BE147" s="51">
        <v>0</v>
      </c>
      <c r="BF147" s="51">
        <f>147</f>
        <v>147</v>
      </c>
      <c r="BH147" s="51">
        <f t="shared" si="57"/>
        <v>0</v>
      </c>
      <c r="BI147" s="51">
        <f t="shared" si="58"/>
        <v>0</v>
      </c>
      <c r="BJ147" s="51">
        <f t="shared" si="59"/>
        <v>0</v>
      </c>
      <c r="BK147" s="53" t="s">
        <v>118</v>
      </c>
      <c r="BL147" s="51">
        <v>725</v>
      </c>
      <c r="BW147" s="51">
        <v>12</v>
      </c>
      <c r="BX147" s="3" t="s">
        <v>431</v>
      </c>
    </row>
    <row r="148" spans="1:76">
      <c r="A148" s="1" t="s">
        <v>432</v>
      </c>
      <c r="B148" s="2" t="s">
        <v>433</v>
      </c>
      <c r="C148" s="75" t="s">
        <v>434</v>
      </c>
      <c r="D148" s="70"/>
      <c r="E148" s="2" t="s">
        <v>114</v>
      </c>
      <c r="F148" s="51">
        <v>1</v>
      </c>
      <c r="G148" s="52">
        <v>0</v>
      </c>
      <c r="H148" s="51">
        <f t="shared" si="40"/>
        <v>0</v>
      </c>
      <c r="J148" s="41"/>
      <c r="Z148" s="51">
        <f t="shared" si="41"/>
        <v>0</v>
      </c>
      <c r="AB148" s="51">
        <f t="shared" si="42"/>
        <v>0</v>
      </c>
      <c r="AC148" s="51">
        <f t="shared" si="43"/>
        <v>0</v>
      </c>
      <c r="AD148" s="51">
        <f t="shared" si="44"/>
        <v>0</v>
      </c>
      <c r="AE148" s="51">
        <f t="shared" si="45"/>
        <v>0</v>
      </c>
      <c r="AF148" s="51">
        <f t="shared" si="46"/>
        <v>0</v>
      </c>
      <c r="AG148" s="51">
        <f t="shared" si="47"/>
        <v>0</v>
      </c>
      <c r="AH148" s="51">
        <f t="shared" si="48"/>
        <v>0</v>
      </c>
      <c r="AI148" s="35" t="s">
        <v>4</v>
      </c>
      <c r="AJ148" s="51">
        <f t="shared" si="49"/>
        <v>0</v>
      </c>
      <c r="AK148" s="51">
        <f t="shared" si="50"/>
        <v>0</v>
      </c>
      <c r="AL148" s="51">
        <f t="shared" si="51"/>
        <v>0</v>
      </c>
      <c r="AN148" s="51">
        <v>12</v>
      </c>
      <c r="AO148" s="51">
        <f>G148*0.900666479</f>
        <v>0</v>
      </c>
      <c r="AP148" s="51">
        <f>G148*(1-0.900666479)</f>
        <v>0</v>
      </c>
      <c r="AQ148" s="53" t="s">
        <v>148</v>
      </c>
      <c r="AV148" s="51">
        <f t="shared" si="52"/>
        <v>0</v>
      </c>
      <c r="AW148" s="51">
        <f t="shared" si="53"/>
        <v>0</v>
      </c>
      <c r="AX148" s="51">
        <f t="shared" si="54"/>
        <v>0</v>
      </c>
      <c r="AY148" s="53" t="s">
        <v>416</v>
      </c>
      <c r="AZ148" s="53" t="s">
        <v>349</v>
      </c>
      <c r="BA148" s="35" t="s">
        <v>117</v>
      </c>
      <c r="BC148" s="51">
        <f t="shared" si="55"/>
        <v>0</v>
      </c>
      <c r="BD148" s="51">
        <f t="shared" si="56"/>
        <v>0</v>
      </c>
      <c r="BE148" s="51">
        <v>0</v>
      </c>
      <c r="BF148" s="51">
        <f>148</f>
        <v>148</v>
      </c>
      <c r="BH148" s="51">
        <f t="shared" si="57"/>
        <v>0</v>
      </c>
      <c r="BI148" s="51">
        <f t="shared" si="58"/>
        <v>0</v>
      </c>
      <c r="BJ148" s="51">
        <f t="shared" si="59"/>
        <v>0</v>
      </c>
      <c r="BK148" s="53" t="s">
        <v>118</v>
      </c>
      <c r="BL148" s="51">
        <v>725</v>
      </c>
      <c r="BW148" s="51">
        <v>12</v>
      </c>
      <c r="BX148" s="3" t="s">
        <v>434</v>
      </c>
    </row>
    <row r="149" spans="1:76" ht="13.5" customHeight="1">
      <c r="A149" s="54"/>
      <c r="B149" s="55" t="s">
        <v>119</v>
      </c>
      <c r="C149" s="152" t="s">
        <v>435</v>
      </c>
      <c r="D149" s="153"/>
      <c r="E149" s="153"/>
      <c r="F149" s="153"/>
      <c r="G149" s="154"/>
      <c r="H149" s="153"/>
      <c r="I149" s="153"/>
      <c r="J149" s="155"/>
    </row>
    <row r="150" spans="1:76">
      <c r="A150" s="1" t="s">
        <v>436</v>
      </c>
      <c r="B150" s="2" t="s">
        <v>437</v>
      </c>
      <c r="C150" s="75" t="s">
        <v>438</v>
      </c>
      <c r="D150" s="70"/>
      <c r="E150" s="2" t="s">
        <v>114</v>
      </c>
      <c r="F150" s="51">
        <v>1</v>
      </c>
      <c r="G150" s="52">
        <v>0</v>
      </c>
      <c r="H150" s="51">
        <f t="shared" ref="H150:H159" si="60">ROUND(F150*G150,2)</f>
        <v>0</v>
      </c>
      <c r="J150" s="41"/>
      <c r="Z150" s="51">
        <f t="shared" ref="Z150:Z159" si="61">ROUND(IF(AQ150="5",BJ150,0),2)</f>
        <v>0</v>
      </c>
      <c r="AB150" s="51">
        <f t="shared" ref="AB150:AB159" si="62">ROUND(IF(AQ150="1",BH150,0),2)</f>
        <v>0</v>
      </c>
      <c r="AC150" s="51">
        <f t="shared" ref="AC150:AC159" si="63">ROUND(IF(AQ150="1",BI150,0),2)</f>
        <v>0</v>
      </c>
      <c r="AD150" s="51">
        <f t="shared" ref="AD150:AD159" si="64">ROUND(IF(AQ150="7",BH150,0),2)</f>
        <v>0</v>
      </c>
      <c r="AE150" s="51">
        <f t="shared" ref="AE150:AE159" si="65">ROUND(IF(AQ150="7",BI150,0),2)</f>
        <v>0</v>
      </c>
      <c r="AF150" s="51">
        <f t="shared" ref="AF150:AF159" si="66">ROUND(IF(AQ150="2",BH150,0),2)</f>
        <v>0</v>
      </c>
      <c r="AG150" s="51">
        <f t="shared" ref="AG150:AG159" si="67">ROUND(IF(AQ150="2",BI150,0),2)</f>
        <v>0</v>
      </c>
      <c r="AH150" s="51">
        <f t="shared" ref="AH150:AH159" si="68">ROUND(IF(AQ150="0",BJ150,0),2)</f>
        <v>0</v>
      </c>
      <c r="AI150" s="35" t="s">
        <v>4</v>
      </c>
      <c r="AJ150" s="51">
        <f t="shared" ref="AJ150:AJ159" si="69">IF(AN150=0,H150,0)</f>
        <v>0</v>
      </c>
      <c r="AK150" s="51">
        <f t="shared" ref="AK150:AK159" si="70">IF(AN150=12,H150,0)</f>
        <v>0</v>
      </c>
      <c r="AL150" s="51">
        <f t="shared" ref="AL150:AL159" si="71">IF(AN150=21,H150,0)</f>
        <v>0</v>
      </c>
      <c r="AN150" s="51">
        <v>12</v>
      </c>
      <c r="AO150" s="51">
        <f>G150*0.802805968</f>
        <v>0</v>
      </c>
      <c r="AP150" s="51">
        <f>G150*(1-0.802805968)</f>
        <v>0</v>
      </c>
      <c r="AQ150" s="53" t="s">
        <v>148</v>
      </c>
      <c r="AV150" s="51">
        <f t="shared" ref="AV150:AV159" si="72">ROUND(AW150+AX150,2)</f>
        <v>0</v>
      </c>
      <c r="AW150" s="51">
        <f t="shared" ref="AW150:AW159" si="73">ROUND(F150*AO150,2)</f>
        <v>0</v>
      </c>
      <c r="AX150" s="51">
        <f t="shared" ref="AX150:AX159" si="74">ROUND(F150*AP150,2)</f>
        <v>0</v>
      </c>
      <c r="AY150" s="53" t="s">
        <v>416</v>
      </c>
      <c r="AZ150" s="53" t="s">
        <v>349</v>
      </c>
      <c r="BA150" s="35" t="s">
        <v>117</v>
      </c>
      <c r="BC150" s="51">
        <f t="shared" ref="BC150:BC159" si="75">AW150+AX150</f>
        <v>0</v>
      </c>
      <c r="BD150" s="51">
        <f t="shared" ref="BD150:BD159" si="76">G150/(100-BE150)*100</f>
        <v>0</v>
      </c>
      <c r="BE150" s="51">
        <v>0</v>
      </c>
      <c r="BF150" s="51">
        <f>150</f>
        <v>150</v>
      </c>
      <c r="BH150" s="51">
        <f t="shared" ref="BH150:BH159" si="77">F150*AO150</f>
        <v>0</v>
      </c>
      <c r="BI150" s="51">
        <f t="shared" ref="BI150:BI159" si="78">F150*AP150</f>
        <v>0</v>
      </c>
      <c r="BJ150" s="51">
        <f t="shared" ref="BJ150:BJ159" si="79">F150*G150</f>
        <v>0</v>
      </c>
      <c r="BK150" s="53" t="s">
        <v>118</v>
      </c>
      <c r="BL150" s="51">
        <v>725</v>
      </c>
      <c r="BW150" s="51">
        <v>12</v>
      </c>
      <c r="BX150" s="3" t="s">
        <v>438</v>
      </c>
    </row>
    <row r="151" spans="1:76">
      <c r="A151" s="1" t="s">
        <v>439</v>
      </c>
      <c r="B151" s="2" t="s">
        <v>440</v>
      </c>
      <c r="C151" s="75" t="s">
        <v>441</v>
      </c>
      <c r="D151" s="70"/>
      <c r="E151" s="2" t="s">
        <v>415</v>
      </c>
      <c r="F151" s="51">
        <v>7</v>
      </c>
      <c r="G151" s="52">
        <v>0</v>
      </c>
      <c r="H151" s="51">
        <f t="shared" si="60"/>
        <v>0</v>
      </c>
      <c r="J151" s="41"/>
      <c r="Z151" s="51">
        <f t="shared" si="61"/>
        <v>0</v>
      </c>
      <c r="AB151" s="51">
        <f t="shared" si="62"/>
        <v>0</v>
      </c>
      <c r="AC151" s="51">
        <f t="shared" si="63"/>
        <v>0</v>
      </c>
      <c r="AD151" s="51">
        <f t="shared" si="64"/>
        <v>0</v>
      </c>
      <c r="AE151" s="51">
        <f t="shared" si="65"/>
        <v>0</v>
      </c>
      <c r="AF151" s="51">
        <f t="shared" si="66"/>
        <v>0</v>
      </c>
      <c r="AG151" s="51">
        <f t="shared" si="67"/>
        <v>0</v>
      </c>
      <c r="AH151" s="51">
        <f t="shared" si="68"/>
        <v>0</v>
      </c>
      <c r="AI151" s="35" t="s">
        <v>4</v>
      </c>
      <c r="AJ151" s="51">
        <f t="shared" si="69"/>
        <v>0</v>
      </c>
      <c r="AK151" s="51">
        <f t="shared" si="70"/>
        <v>0</v>
      </c>
      <c r="AL151" s="51">
        <f t="shared" si="71"/>
        <v>0</v>
      </c>
      <c r="AN151" s="51">
        <v>12</v>
      </c>
      <c r="AO151" s="51">
        <f>G151*0.474794069</f>
        <v>0</v>
      </c>
      <c r="AP151" s="51">
        <f>G151*(1-0.474794069)</f>
        <v>0</v>
      </c>
      <c r="AQ151" s="53" t="s">
        <v>148</v>
      </c>
      <c r="AV151" s="51">
        <f t="shared" si="72"/>
        <v>0</v>
      </c>
      <c r="AW151" s="51">
        <f t="shared" si="73"/>
        <v>0</v>
      </c>
      <c r="AX151" s="51">
        <f t="shared" si="74"/>
        <v>0</v>
      </c>
      <c r="AY151" s="53" t="s">
        <v>416</v>
      </c>
      <c r="AZ151" s="53" t="s">
        <v>349</v>
      </c>
      <c r="BA151" s="35" t="s">
        <v>117</v>
      </c>
      <c r="BC151" s="51">
        <f t="shared" si="75"/>
        <v>0</v>
      </c>
      <c r="BD151" s="51">
        <f t="shared" si="76"/>
        <v>0</v>
      </c>
      <c r="BE151" s="51">
        <v>0</v>
      </c>
      <c r="BF151" s="51">
        <f>151</f>
        <v>151</v>
      </c>
      <c r="BH151" s="51">
        <f t="shared" si="77"/>
        <v>0</v>
      </c>
      <c r="BI151" s="51">
        <f t="shared" si="78"/>
        <v>0</v>
      </c>
      <c r="BJ151" s="51">
        <f t="shared" si="79"/>
        <v>0</v>
      </c>
      <c r="BK151" s="53" t="s">
        <v>118</v>
      </c>
      <c r="BL151" s="51">
        <v>725</v>
      </c>
      <c r="BW151" s="51">
        <v>12</v>
      </c>
      <c r="BX151" s="3" t="s">
        <v>441</v>
      </c>
    </row>
    <row r="152" spans="1:76">
      <c r="A152" s="1" t="s">
        <v>442</v>
      </c>
      <c r="B152" s="2" t="s">
        <v>443</v>
      </c>
      <c r="C152" s="75" t="s">
        <v>444</v>
      </c>
      <c r="D152" s="70"/>
      <c r="E152" s="2" t="s">
        <v>114</v>
      </c>
      <c r="F152" s="51">
        <v>2</v>
      </c>
      <c r="G152" s="52">
        <v>0</v>
      </c>
      <c r="H152" s="51">
        <f t="shared" si="60"/>
        <v>0</v>
      </c>
      <c r="J152" s="41"/>
      <c r="Z152" s="51">
        <f t="shared" si="61"/>
        <v>0</v>
      </c>
      <c r="AB152" s="51">
        <f t="shared" si="62"/>
        <v>0</v>
      </c>
      <c r="AC152" s="51">
        <f t="shared" si="63"/>
        <v>0</v>
      </c>
      <c r="AD152" s="51">
        <f t="shared" si="64"/>
        <v>0</v>
      </c>
      <c r="AE152" s="51">
        <f t="shared" si="65"/>
        <v>0</v>
      </c>
      <c r="AF152" s="51">
        <f t="shared" si="66"/>
        <v>0</v>
      </c>
      <c r="AG152" s="51">
        <f t="shared" si="67"/>
        <v>0</v>
      </c>
      <c r="AH152" s="51">
        <f t="shared" si="68"/>
        <v>0</v>
      </c>
      <c r="AI152" s="35" t="s">
        <v>4</v>
      </c>
      <c r="AJ152" s="51">
        <f t="shared" si="69"/>
        <v>0</v>
      </c>
      <c r="AK152" s="51">
        <f t="shared" si="70"/>
        <v>0</v>
      </c>
      <c r="AL152" s="51">
        <f t="shared" si="71"/>
        <v>0</v>
      </c>
      <c r="AN152" s="51">
        <v>12</v>
      </c>
      <c r="AO152" s="51">
        <f>G152*0.88622221</f>
        <v>0</v>
      </c>
      <c r="AP152" s="51">
        <f>G152*(1-0.88622221)</f>
        <v>0</v>
      </c>
      <c r="AQ152" s="53" t="s">
        <v>148</v>
      </c>
      <c r="AV152" s="51">
        <f t="shared" si="72"/>
        <v>0</v>
      </c>
      <c r="AW152" s="51">
        <f t="shared" si="73"/>
        <v>0</v>
      </c>
      <c r="AX152" s="51">
        <f t="shared" si="74"/>
        <v>0</v>
      </c>
      <c r="AY152" s="53" t="s">
        <v>416</v>
      </c>
      <c r="AZ152" s="53" t="s">
        <v>349</v>
      </c>
      <c r="BA152" s="35" t="s">
        <v>117</v>
      </c>
      <c r="BC152" s="51">
        <f t="shared" si="75"/>
        <v>0</v>
      </c>
      <c r="BD152" s="51">
        <f t="shared" si="76"/>
        <v>0</v>
      </c>
      <c r="BE152" s="51">
        <v>0</v>
      </c>
      <c r="BF152" s="51">
        <f>152</f>
        <v>152</v>
      </c>
      <c r="BH152" s="51">
        <f t="shared" si="77"/>
        <v>0</v>
      </c>
      <c r="BI152" s="51">
        <f t="shared" si="78"/>
        <v>0</v>
      </c>
      <c r="BJ152" s="51">
        <f t="shared" si="79"/>
        <v>0</v>
      </c>
      <c r="BK152" s="53" t="s">
        <v>118</v>
      </c>
      <c r="BL152" s="51">
        <v>725</v>
      </c>
      <c r="BW152" s="51">
        <v>12</v>
      </c>
      <c r="BX152" s="3" t="s">
        <v>444</v>
      </c>
    </row>
    <row r="153" spans="1:76">
      <c r="A153" s="1" t="s">
        <v>445</v>
      </c>
      <c r="B153" s="2" t="s">
        <v>446</v>
      </c>
      <c r="C153" s="75" t="s">
        <v>447</v>
      </c>
      <c r="D153" s="70"/>
      <c r="E153" s="2" t="s">
        <v>114</v>
      </c>
      <c r="F153" s="51">
        <v>1</v>
      </c>
      <c r="G153" s="52">
        <v>0</v>
      </c>
      <c r="H153" s="51">
        <f t="shared" si="60"/>
        <v>0</v>
      </c>
      <c r="J153" s="41"/>
      <c r="Z153" s="51">
        <f t="shared" si="61"/>
        <v>0</v>
      </c>
      <c r="AB153" s="51">
        <f t="shared" si="62"/>
        <v>0</v>
      </c>
      <c r="AC153" s="51">
        <f t="shared" si="63"/>
        <v>0</v>
      </c>
      <c r="AD153" s="51">
        <f t="shared" si="64"/>
        <v>0</v>
      </c>
      <c r="AE153" s="51">
        <f t="shared" si="65"/>
        <v>0</v>
      </c>
      <c r="AF153" s="51">
        <f t="shared" si="66"/>
        <v>0</v>
      </c>
      <c r="AG153" s="51">
        <f t="shared" si="67"/>
        <v>0</v>
      </c>
      <c r="AH153" s="51">
        <f t="shared" si="68"/>
        <v>0</v>
      </c>
      <c r="AI153" s="35" t="s">
        <v>4</v>
      </c>
      <c r="AJ153" s="51">
        <f t="shared" si="69"/>
        <v>0</v>
      </c>
      <c r="AK153" s="51">
        <f t="shared" si="70"/>
        <v>0</v>
      </c>
      <c r="AL153" s="51">
        <f t="shared" si="71"/>
        <v>0</v>
      </c>
      <c r="AN153" s="51">
        <v>12</v>
      </c>
      <c r="AO153" s="51">
        <f>G153*0.826075949</f>
        <v>0</v>
      </c>
      <c r="AP153" s="51">
        <f>G153*(1-0.826075949)</f>
        <v>0</v>
      </c>
      <c r="AQ153" s="53" t="s">
        <v>148</v>
      </c>
      <c r="AV153" s="51">
        <f t="shared" si="72"/>
        <v>0</v>
      </c>
      <c r="AW153" s="51">
        <f t="shared" si="73"/>
        <v>0</v>
      </c>
      <c r="AX153" s="51">
        <f t="shared" si="74"/>
        <v>0</v>
      </c>
      <c r="AY153" s="53" t="s">
        <v>416</v>
      </c>
      <c r="AZ153" s="53" t="s">
        <v>349</v>
      </c>
      <c r="BA153" s="35" t="s">
        <v>117</v>
      </c>
      <c r="BC153" s="51">
        <f t="shared" si="75"/>
        <v>0</v>
      </c>
      <c r="BD153" s="51">
        <f t="shared" si="76"/>
        <v>0</v>
      </c>
      <c r="BE153" s="51">
        <v>0</v>
      </c>
      <c r="BF153" s="51">
        <f>153</f>
        <v>153</v>
      </c>
      <c r="BH153" s="51">
        <f t="shared" si="77"/>
        <v>0</v>
      </c>
      <c r="BI153" s="51">
        <f t="shared" si="78"/>
        <v>0</v>
      </c>
      <c r="BJ153" s="51">
        <f t="shared" si="79"/>
        <v>0</v>
      </c>
      <c r="BK153" s="53" t="s">
        <v>118</v>
      </c>
      <c r="BL153" s="51">
        <v>725</v>
      </c>
      <c r="BW153" s="51">
        <v>12</v>
      </c>
      <c r="BX153" s="3" t="s">
        <v>447</v>
      </c>
    </row>
    <row r="154" spans="1:76">
      <c r="A154" s="1" t="s">
        <v>448</v>
      </c>
      <c r="B154" s="2" t="s">
        <v>449</v>
      </c>
      <c r="C154" s="75" t="s">
        <v>450</v>
      </c>
      <c r="D154" s="70"/>
      <c r="E154" s="2" t="s">
        <v>415</v>
      </c>
      <c r="F154" s="51">
        <v>1</v>
      </c>
      <c r="G154" s="52">
        <v>0</v>
      </c>
      <c r="H154" s="51">
        <f t="shared" si="60"/>
        <v>0</v>
      </c>
      <c r="J154" s="41"/>
      <c r="Z154" s="51">
        <f t="shared" si="61"/>
        <v>0</v>
      </c>
      <c r="AB154" s="51">
        <f t="shared" si="62"/>
        <v>0</v>
      </c>
      <c r="AC154" s="51">
        <f t="shared" si="63"/>
        <v>0</v>
      </c>
      <c r="AD154" s="51">
        <f t="shared" si="64"/>
        <v>0</v>
      </c>
      <c r="AE154" s="51">
        <f t="shared" si="65"/>
        <v>0</v>
      </c>
      <c r="AF154" s="51">
        <f t="shared" si="66"/>
        <v>0</v>
      </c>
      <c r="AG154" s="51">
        <f t="shared" si="67"/>
        <v>0</v>
      </c>
      <c r="AH154" s="51">
        <f t="shared" si="68"/>
        <v>0</v>
      </c>
      <c r="AI154" s="35" t="s">
        <v>4</v>
      </c>
      <c r="AJ154" s="51">
        <f t="shared" si="69"/>
        <v>0</v>
      </c>
      <c r="AK154" s="51">
        <f t="shared" si="70"/>
        <v>0</v>
      </c>
      <c r="AL154" s="51">
        <f t="shared" si="71"/>
        <v>0</v>
      </c>
      <c r="AN154" s="51">
        <v>12</v>
      </c>
      <c r="AO154" s="51">
        <f>G154*0.866443766</f>
        <v>0</v>
      </c>
      <c r="AP154" s="51">
        <f>G154*(1-0.866443766)</f>
        <v>0</v>
      </c>
      <c r="AQ154" s="53" t="s">
        <v>148</v>
      </c>
      <c r="AV154" s="51">
        <f t="shared" si="72"/>
        <v>0</v>
      </c>
      <c r="AW154" s="51">
        <f t="shared" si="73"/>
        <v>0</v>
      </c>
      <c r="AX154" s="51">
        <f t="shared" si="74"/>
        <v>0</v>
      </c>
      <c r="AY154" s="53" t="s">
        <v>416</v>
      </c>
      <c r="AZ154" s="53" t="s">
        <v>349</v>
      </c>
      <c r="BA154" s="35" t="s">
        <v>117</v>
      </c>
      <c r="BC154" s="51">
        <f t="shared" si="75"/>
        <v>0</v>
      </c>
      <c r="BD154" s="51">
        <f t="shared" si="76"/>
        <v>0</v>
      </c>
      <c r="BE154" s="51">
        <v>0</v>
      </c>
      <c r="BF154" s="51">
        <f>154</f>
        <v>154</v>
      </c>
      <c r="BH154" s="51">
        <f t="shared" si="77"/>
        <v>0</v>
      </c>
      <c r="BI154" s="51">
        <f t="shared" si="78"/>
        <v>0</v>
      </c>
      <c r="BJ154" s="51">
        <f t="shared" si="79"/>
        <v>0</v>
      </c>
      <c r="BK154" s="53" t="s">
        <v>118</v>
      </c>
      <c r="BL154" s="51">
        <v>725</v>
      </c>
      <c r="BW154" s="51">
        <v>12</v>
      </c>
      <c r="BX154" s="3" t="s">
        <v>450</v>
      </c>
    </row>
    <row r="155" spans="1:76">
      <c r="A155" s="1" t="s">
        <v>451</v>
      </c>
      <c r="B155" s="2" t="s">
        <v>452</v>
      </c>
      <c r="C155" s="75" t="s">
        <v>453</v>
      </c>
      <c r="D155" s="70"/>
      <c r="E155" s="2" t="s">
        <v>415</v>
      </c>
      <c r="F155" s="51">
        <v>1</v>
      </c>
      <c r="G155" s="52">
        <v>0</v>
      </c>
      <c r="H155" s="51">
        <f t="shared" si="60"/>
        <v>0</v>
      </c>
      <c r="J155" s="41"/>
      <c r="Z155" s="51">
        <f t="shared" si="61"/>
        <v>0</v>
      </c>
      <c r="AB155" s="51">
        <f t="shared" si="62"/>
        <v>0</v>
      </c>
      <c r="AC155" s="51">
        <f t="shared" si="63"/>
        <v>0</v>
      </c>
      <c r="AD155" s="51">
        <f t="shared" si="64"/>
        <v>0</v>
      </c>
      <c r="AE155" s="51">
        <f t="shared" si="65"/>
        <v>0</v>
      </c>
      <c r="AF155" s="51">
        <f t="shared" si="66"/>
        <v>0</v>
      </c>
      <c r="AG155" s="51">
        <f t="shared" si="67"/>
        <v>0</v>
      </c>
      <c r="AH155" s="51">
        <f t="shared" si="68"/>
        <v>0</v>
      </c>
      <c r="AI155" s="35" t="s">
        <v>4</v>
      </c>
      <c r="AJ155" s="51">
        <f t="shared" si="69"/>
        <v>0</v>
      </c>
      <c r="AK155" s="51">
        <f t="shared" si="70"/>
        <v>0</v>
      </c>
      <c r="AL155" s="51">
        <f t="shared" si="71"/>
        <v>0</v>
      </c>
      <c r="AN155" s="51">
        <v>12</v>
      </c>
      <c r="AO155" s="51">
        <f>G155*0.419240045</f>
        <v>0</v>
      </c>
      <c r="AP155" s="51">
        <f>G155*(1-0.419240045)</f>
        <v>0</v>
      </c>
      <c r="AQ155" s="53" t="s">
        <v>148</v>
      </c>
      <c r="AV155" s="51">
        <f t="shared" si="72"/>
        <v>0</v>
      </c>
      <c r="AW155" s="51">
        <f t="shared" si="73"/>
        <v>0</v>
      </c>
      <c r="AX155" s="51">
        <f t="shared" si="74"/>
        <v>0</v>
      </c>
      <c r="AY155" s="53" t="s">
        <v>416</v>
      </c>
      <c r="AZ155" s="53" t="s">
        <v>349</v>
      </c>
      <c r="BA155" s="35" t="s">
        <v>117</v>
      </c>
      <c r="BC155" s="51">
        <f t="shared" si="75"/>
        <v>0</v>
      </c>
      <c r="BD155" s="51">
        <f t="shared" si="76"/>
        <v>0</v>
      </c>
      <c r="BE155" s="51">
        <v>0</v>
      </c>
      <c r="BF155" s="51">
        <f>155</f>
        <v>155</v>
      </c>
      <c r="BH155" s="51">
        <f t="shared" si="77"/>
        <v>0</v>
      </c>
      <c r="BI155" s="51">
        <f t="shared" si="78"/>
        <v>0</v>
      </c>
      <c r="BJ155" s="51">
        <f t="shared" si="79"/>
        <v>0</v>
      </c>
      <c r="BK155" s="53" t="s">
        <v>118</v>
      </c>
      <c r="BL155" s="51">
        <v>725</v>
      </c>
      <c r="BW155" s="51">
        <v>12</v>
      </c>
      <c r="BX155" s="3" t="s">
        <v>453</v>
      </c>
    </row>
    <row r="156" spans="1:76">
      <c r="A156" s="1" t="s">
        <v>454</v>
      </c>
      <c r="B156" s="2" t="s">
        <v>455</v>
      </c>
      <c r="C156" s="75" t="s">
        <v>456</v>
      </c>
      <c r="D156" s="70"/>
      <c r="E156" s="2" t="s">
        <v>415</v>
      </c>
      <c r="F156" s="51">
        <v>1</v>
      </c>
      <c r="G156" s="52">
        <v>0</v>
      </c>
      <c r="H156" s="51">
        <f t="shared" si="60"/>
        <v>0</v>
      </c>
      <c r="J156" s="41"/>
      <c r="Z156" s="51">
        <f t="shared" si="61"/>
        <v>0</v>
      </c>
      <c r="AB156" s="51">
        <f t="shared" si="62"/>
        <v>0</v>
      </c>
      <c r="AC156" s="51">
        <f t="shared" si="63"/>
        <v>0</v>
      </c>
      <c r="AD156" s="51">
        <f t="shared" si="64"/>
        <v>0</v>
      </c>
      <c r="AE156" s="51">
        <f t="shared" si="65"/>
        <v>0</v>
      </c>
      <c r="AF156" s="51">
        <f t="shared" si="66"/>
        <v>0</v>
      </c>
      <c r="AG156" s="51">
        <f t="shared" si="67"/>
        <v>0</v>
      </c>
      <c r="AH156" s="51">
        <f t="shared" si="68"/>
        <v>0</v>
      </c>
      <c r="AI156" s="35" t="s">
        <v>4</v>
      </c>
      <c r="AJ156" s="51">
        <f t="shared" si="69"/>
        <v>0</v>
      </c>
      <c r="AK156" s="51">
        <f t="shared" si="70"/>
        <v>0</v>
      </c>
      <c r="AL156" s="51">
        <f t="shared" si="71"/>
        <v>0</v>
      </c>
      <c r="AN156" s="51">
        <v>12</v>
      </c>
      <c r="AO156" s="51">
        <f>G156*0.894224395</f>
        <v>0</v>
      </c>
      <c r="AP156" s="51">
        <f>G156*(1-0.894224395)</f>
        <v>0</v>
      </c>
      <c r="AQ156" s="53" t="s">
        <v>148</v>
      </c>
      <c r="AV156" s="51">
        <f t="shared" si="72"/>
        <v>0</v>
      </c>
      <c r="AW156" s="51">
        <f t="shared" si="73"/>
        <v>0</v>
      </c>
      <c r="AX156" s="51">
        <f t="shared" si="74"/>
        <v>0</v>
      </c>
      <c r="AY156" s="53" t="s">
        <v>416</v>
      </c>
      <c r="AZ156" s="53" t="s">
        <v>349</v>
      </c>
      <c r="BA156" s="35" t="s">
        <v>117</v>
      </c>
      <c r="BC156" s="51">
        <f t="shared" si="75"/>
        <v>0</v>
      </c>
      <c r="BD156" s="51">
        <f t="shared" si="76"/>
        <v>0</v>
      </c>
      <c r="BE156" s="51">
        <v>0</v>
      </c>
      <c r="BF156" s="51">
        <f>156</f>
        <v>156</v>
      </c>
      <c r="BH156" s="51">
        <f t="shared" si="77"/>
        <v>0</v>
      </c>
      <c r="BI156" s="51">
        <f t="shared" si="78"/>
        <v>0</v>
      </c>
      <c r="BJ156" s="51">
        <f t="shared" si="79"/>
        <v>0</v>
      </c>
      <c r="BK156" s="53" t="s">
        <v>118</v>
      </c>
      <c r="BL156" s="51">
        <v>725</v>
      </c>
      <c r="BW156" s="51">
        <v>12</v>
      </c>
      <c r="BX156" s="3" t="s">
        <v>456</v>
      </c>
    </row>
    <row r="157" spans="1:76">
      <c r="A157" s="1" t="s">
        <v>457</v>
      </c>
      <c r="B157" s="2" t="s">
        <v>458</v>
      </c>
      <c r="C157" s="75" t="s">
        <v>459</v>
      </c>
      <c r="D157" s="70"/>
      <c r="E157" s="2" t="s">
        <v>114</v>
      </c>
      <c r="F157" s="51">
        <v>1</v>
      </c>
      <c r="G157" s="52">
        <v>0</v>
      </c>
      <c r="H157" s="51">
        <f t="shared" si="60"/>
        <v>0</v>
      </c>
      <c r="J157" s="41"/>
      <c r="Z157" s="51">
        <f t="shared" si="61"/>
        <v>0</v>
      </c>
      <c r="AB157" s="51">
        <f t="shared" si="62"/>
        <v>0</v>
      </c>
      <c r="AC157" s="51">
        <f t="shared" si="63"/>
        <v>0</v>
      </c>
      <c r="AD157" s="51">
        <f t="shared" si="64"/>
        <v>0</v>
      </c>
      <c r="AE157" s="51">
        <f t="shared" si="65"/>
        <v>0</v>
      </c>
      <c r="AF157" s="51">
        <f t="shared" si="66"/>
        <v>0</v>
      </c>
      <c r="AG157" s="51">
        <f t="shared" si="67"/>
        <v>0</v>
      </c>
      <c r="AH157" s="51">
        <f t="shared" si="68"/>
        <v>0</v>
      </c>
      <c r="AI157" s="35" t="s">
        <v>4</v>
      </c>
      <c r="AJ157" s="51">
        <f t="shared" si="69"/>
        <v>0</v>
      </c>
      <c r="AK157" s="51">
        <f t="shared" si="70"/>
        <v>0</v>
      </c>
      <c r="AL157" s="51">
        <f t="shared" si="71"/>
        <v>0</v>
      </c>
      <c r="AN157" s="51">
        <v>12</v>
      </c>
      <c r="AO157" s="51">
        <f>G157*1</f>
        <v>0</v>
      </c>
      <c r="AP157" s="51">
        <f>G157*(1-1)</f>
        <v>0</v>
      </c>
      <c r="AQ157" s="53" t="s">
        <v>148</v>
      </c>
      <c r="AV157" s="51">
        <f t="shared" si="72"/>
        <v>0</v>
      </c>
      <c r="AW157" s="51">
        <f t="shared" si="73"/>
        <v>0</v>
      </c>
      <c r="AX157" s="51">
        <f t="shared" si="74"/>
        <v>0</v>
      </c>
      <c r="AY157" s="53" t="s">
        <v>416</v>
      </c>
      <c r="AZ157" s="53" t="s">
        <v>349</v>
      </c>
      <c r="BA157" s="35" t="s">
        <v>117</v>
      </c>
      <c r="BC157" s="51">
        <f t="shared" si="75"/>
        <v>0</v>
      </c>
      <c r="BD157" s="51">
        <f t="shared" si="76"/>
        <v>0</v>
      </c>
      <c r="BE157" s="51">
        <v>0</v>
      </c>
      <c r="BF157" s="51">
        <f>157</f>
        <v>157</v>
      </c>
      <c r="BH157" s="51">
        <f t="shared" si="77"/>
        <v>0</v>
      </c>
      <c r="BI157" s="51">
        <f t="shared" si="78"/>
        <v>0</v>
      </c>
      <c r="BJ157" s="51">
        <f t="shared" si="79"/>
        <v>0</v>
      </c>
      <c r="BK157" s="53" t="s">
        <v>256</v>
      </c>
      <c r="BL157" s="51">
        <v>725</v>
      </c>
      <c r="BW157" s="51">
        <v>12</v>
      </c>
      <c r="BX157" s="3" t="s">
        <v>459</v>
      </c>
    </row>
    <row r="158" spans="1:76">
      <c r="A158" s="1" t="s">
        <v>460</v>
      </c>
      <c r="B158" s="2" t="s">
        <v>461</v>
      </c>
      <c r="C158" s="75" t="s">
        <v>462</v>
      </c>
      <c r="D158" s="70"/>
      <c r="E158" s="2" t="s">
        <v>114</v>
      </c>
      <c r="F158" s="51">
        <v>1</v>
      </c>
      <c r="G158" s="52">
        <v>0</v>
      </c>
      <c r="H158" s="51">
        <f t="shared" si="60"/>
        <v>0</v>
      </c>
      <c r="J158" s="41"/>
      <c r="Z158" s="51">
        <f t="shared" si="61"/>
        <v>0</v>
      </c>
      <c r="AB158" s="51">
        <f t="shared" si="62"/>
        <v>0</v>
      </c>
      <c r="AC158" s="51">
        <f t="shared" si="63"/>
        <v>0</v>
      </c>
      <c r="AD158" s="51">
        <f t="shared" si="64"/>
        <v>0</v>
      </c>
      <c r="AE158" s="51">
        <f t="shared" si="65"/>
        <v>0</v>
      </c>
      <c r="AF158" s="51">
        <f t="shared" si="66"/>
        <v>0</v>
      </c>
      <c r="AG158" s="51">
        <f t="shared" si="67"/>
        <v>0</v>
      </c>
      <c r="AH158" s="51">
        <f t="shared" si="68"/>
        <v>0</v>
      </c>
      <c r="AI158" s="35" t="s">
        <v>4</v>
      </c>
      <c r="AJ158" s="51">
        <f t="shared" si="69"/>
        <v>0</v>
      </c>
      <c r="AK158" s="51">
        <f t="shared" si="70"/>
        <v>0</v>
      </c>
      <c r="AL158" s="51">
        <f t="shared" si="71"/>
        <v>0</v>
      </c>
      <c r="AN158" s="51">
        <v>12</v>
      </c>
      <c r="AO158" s="51">
        <f>G158*1</f>
        <v>0</v>
      </c>
      <c r="AP158" s="51">
        <f>G158*(1-1)</f>
        <v>0</v>
      </c>
      <c r="AQ158" s="53" t="s">
        <v>148</v>
      </c>
      <c r="AV158" s="51">
        <f t="shared" si="72"/>
        <v>0</v>
      </c>
      <c r="AW158" s="51">
        <f t="shared" si="73"/>
        <v>0</v>
      </c>
      <c r="AX158" s="51">
        <f t="shared" si="74"/>
        <v>0</v>
      </c>
      <c r="AY158" s="53" t="s">
        <v>416</v>
      </c>
      <c r="AZ158" s="53" t="s">
        <v>349</v>
      </c>
      <c r="BA158" s="35" t="s">
        <v>117</v>
      </c>
      <c r="BC158" s="51">
        <f t="shared" si="75"/>
        <v>0</v>
      </c>
      <c r="BD158" s="51">
        <f t="shared" si="76"/>
        <v>0</v>
      </c>
      <c r="BE158" s="51">
        <v>0</v>
      </c>
      <c r="BF158" s="51">
        <f>158</f>
        <v>158</v>
      </c>
      <c r="BH158" s="51">
        <f t="shared" si="77"/>
        <v>0</v>
      </c>
      <c r="BI158" s="51">
        <f t="shared" si="78"/>
        <v>0</v>
      </c>
      <c r="BJ158" s="51">
        <f t="shared" si="79"/>
        <v>0</v>
      </c>
      <c r="BK158" s="53" t="s">
        <v>256</v>
      </c>
      <c r="BL158" s="51">
        <v>725</v>
      </c>
      <c r="BW158" s="51">
        <v>12</v>
      </c>
      <c r="BX158" s="3" t="s">
        <v>462</v>
      </c>
    </row>
    <row r="159" spans="1:76">
      <c r="A159" s="1" t="s">
        <v>463</v>
      </c>
      <c r="B159" s="2" t="s">
        <v>464</v>
      </c>
      <c r="C159" s="75" t="s">
        <v>465</v>
      </c>
      <c r="D159" s="70"/>
      <c r="E159" s="2" t="s">
        <v>281</v>
      </c>
      <c r="F159" s="51">
        <v>0.3</v>
      </c>
      <c r="G159" s="52">
        <v>0</v>
      </c>
      <c r="H159" s="51">
        <f t="shared" si="60"/>
        <v>0</v>
      </c>
      <c r="J159" s="41"/>
      <c r="Z159" s="51">
        <f t="shared" si="61"/>
        <v>0</v>
      </c>
      <c r="AB159" s="51">
        <f t="shared" si="62"/>
        <v>0</v>
      </c>
      <c r="AC159" s="51">
        <f t="shared" si="63"/>
        <v>0</v>
      </c>
      <c r="AD159" s="51">
        <f t="shared" si="64"/>
        <v>0</v>
      </c>
      <c r="AE159" s="51">
        <f t="shared" si="65"/>
        <v>0</v>
      </c>
      <c r="AF159" s="51">
        <f t="shared" si="66"/>
        <v>0</v>
      </c>
      <c r="AG159" s="51">
        <f t="shared" si="67"/>
        <v>0</v>
      </c>
      <c r="AH159" s="51">
        <f t="shared" si="68"/>
        <v>0</v>
      </c>
      <c r="AI159" s="35" t="s">
        <v>4</v>
      </c>
      <c r="AJ159" s="51">
        <f t="shared" si="69"/>
        <v>0</v>
      </c>
      <c r="AK159" s="51">
        <f t="shared" si="70"/>
        <v>0</v>
      </c>
      <c r="AL159" s="51">
        <f t="shared" si="71"/>
        <v>0</v>
      </c>
      <c r="AN159" s="51">
        <v>12</v>
      </c>
      <c r="AO159" s="51">
        <f>G159*0</f>
        <v>0</v>
      </c>
      <c r="AP159" s="51">
        <f>G159*(1-0)</f>
        <v>0</v>
      </c>
      <c r="AQ159" s="53" t="s">
        <v>148</v>
      </c>
      <c r="AV159" s="51">
        <f t="shared" si="72"/>
        <v>0</v>
      </c>
      <c r="AW159" s="51">
        <f t="shared" si="73"/>
        <v>0</v>
      </c>
      <c r="AX159" s="51">
        <f t="shared" si="74"/>
        <v>0</v>
      </c>
      <c r="AY159" s="53" t="s">
        <v>416</v>
      </c>
      <c r="AZ159" s="53" t="s">
        <v>349</v>
      </c>
      <c r="BA159" s="35" t="s">
        <v>117</v>
      </c>
      <c r="BC159" s="51">
        <f t="shared" si="75"/>
        <v>0</v>
      </c>
      <c r="BD159" s="51">
        <f t="shared" si="76"/>
        <v>0</v>
      </c>
      <c r="BE159" s="51">
        <v>0</v>
      </c>
      <c r="BF159" s="51">
        <f>159</f>
        <v>159</v>
      </c>
      <c r="BH159" s="51">
        <f t="shared" si="77"/>
        <v>0</v>
      </c>
      <c r="BI159" s="51">
        <f t="shared" si="78"/>
        <v>0</v>
      </c>
      <c r="BJ159" s="51">
        <f t="shared" si="79"/>
        <v>0</v>
      </c>
      <c r="BK159" s="53" t="s">
        <v>118</v>
      </c>
      <c r="BL159" s="51">
        <v>725</v>
      </c>
      <c r="BW159" s="51">
        <v>12</v>
      </c>
      <c r="BX159" s="3" t="s">
        <v>465</v>
      </c>
    </row>
    <row r="160" spans="1:76">
      <c r="A160" s="47" t="s">
        <v>4</v>
      </c>
      <c r="B160" s="48" t="s">
        <v>466</v>
      </c>
      <c r="C160" s="150" t="s">
        <v>467</v>
      </c>
      <c r="D160" s="151"/>
      <c r="E160" s="49" t="s">
        <v>79</v>
      </c>
      <c r="F160" s="49" t="s">
        <v>79</v>
      </c>
      <c r="G160" s="50" t="s">
        <v>79</v>
      </c>
      <c r="H160" s="28">
        <f>SUM(H161:H163)</f>
        <v>0</v>
      </c>
      <c r="J160" s="41"/>
      <c r="AI160" s="35" t="s">
        <v>4</v>
      </c>
      <c r="AS160" s="28">
        <f>SUM(AJ161:AJ163)</f>
        <v>0</v>
      </c>
      <c r="AT160" s="28">
        <f>SUM(AK161:AK163)</f>
        <v>0</v>
      </c>
      <c r="AU160" s="28">
        <f>SUM(AL161:AL163)</f>
        <v>0</v>
      </c>
    </row>
    <row r="161" spans="1:76">
      <c r="A161" s="1" t="s">
        <v>468</v>
      </c>
      <c r="B161" s="2" t="s">
        <v>469</v>
      </c>
      <c r="C161" s="75" t="s">
        <v>470</v>
      </c>
      <c r="D161" s="70"/>
      <c r="E161" s="2" t="s">
        <v>415</v>
      </c>
      <c r="F161" s="51">
        <v>1</v>
      </c>
      <c r="G161" s="52">
        <v>0</v>
      </c>
      <c r="H161" s="51">
        <f>ROUND(F161*G161,2)</f>
        <v>0</v>
      </c>
      <c r="J161" s="41"/>
      <c r="Z161" s="51">
        <f>ROUND(IF(AQ161="5",BJ161,0),2)</f>
        <v>0</v>
      </c>
      <c r="AB161" s="51">
        <f>ROUND(IF(AQ161="1",BH161,0),2)</f>
        <v>0</v>
      </c>
      <c r="AC161" s="51">
        <f>ROUND(IF(AQ161="1",BI161,0),2)</f>
        <v>0</v>
      </c>
      <c r="AD161" s="51">
        <f>ROUND(IF(AQ161="7",BH161,0),2)</f>
        <v>0</v>
      </c>
      <c r="AE161" s="51">
        <f>ROUND(IF(AQ161="7",BI161,0),2)</f>
        <v>0</v>
      </c>
      <c r="AF161" s="51">
        <f>ROUND(IF(AQ161="2",BH161,0),2)</f>
        <v>0</v>
      </c>
      <c r="AG161" s="51">
        <f>ROUND(IF(AQ161="2",BI161,0),2)</f>
        <v>0</v>
      </c>
      <c r="AH161" s="51">
        <f>ROUND(IF(AQ161="0",BJ161,0),2)</f>
        <v>0</v>
      </c>
      <c r="AI161" s="35" t="s">
        <v>4</v>
      </c>
      <c r="AJ161" s="51">
        <f>IF(AN161=0,H161,0)</f>
        <v>0</v>
      </c>
      <c r="AK161" s="51">
        <f>IF(AN161=12,H161,0)</f>
        <v>0</v>
      </c>
      <c r="AL161" s="51">
        <f>IF(AN161=21,H161,0)</f>
        <v>0</v>
      </c>
      <c r="AN161" s="51">
        <v>12</v>
      </c>
      <c r="AO161" s="51">
        <f>G161*0</f>
        <v>0</v>
      </c>
      <c r="AP161" s="51">
        <f>G161*(1-0)</f>
        <v>0</v>
      </c>
      <c r="AQ161" s="53" t="s">
        <v>148</v>
      </c>
      <c r="AV161" s="51">
        <f>ROUND(AW161+AX161,2)</f>
        <v>0</v>
      </c>
      <c r="AW161" s="51">
        <f>ROUND(F161*AO161,2)</f>
        <v>0</v>
      </c>
      <c r="AX161" s="51">
        <f>ROUND(F161*AP161,2)</f>
        <v>0</v>
      </c>
      <c r="AY161" s="53" t="s">
        <v>471</v>
      </c>
      <c r="AZ161" s="53" t="s">
        <v>349</v>
      </c>
      <c r="BA161" s="35" t="s">
        <v>117</v>
      </c>
      <c r="BC161" s="51">
        <f>AW161+AX161</f>
        <v>0</v>
      </c>
      <c r="BD161" s="51">
        <f>G161/(100-BE161)*100</f>
        <v>0</v>
      </c>
      <c r="BE161" s="51">
        <v>0</v>
      </c>
      <c r="BF161" s="51">
        <f>161</f>
        <v>161</v>
      </c>
      <c r="BH161" s="51">
        <f>F161*AO161</f>
        <v>0</v>
      </c>
      <c r="BI161" s="51">
        <f>F161*AP161</f>
        <v>0</v>
      </c>
      <c r="BJ161" s="51">
        <f>F161*G161</f>
        <v>0</v>
      </c>
      <c r="BK161" s="53" t="s">
        <v>118</v>
      </c>
      <c r="BL161" s="51">
        <v>728</v>
      </c>
      <c r="BW161" s="51">
        <v>12</v>
      </c>
      <c r="BX161" s="3" t="s">
        <v>470</v>
      </c>
    </row>
    <row r="162" spans="1:76">
      <c r="A162" s="1" t="s">
        <v>472</v>
      </c>
      <c r="B162" s="2" t="s">
        <v>473</v>
      </c>
      <c r="C162" s="75" t="s">
        <v>474</v>
      </c>
      <c r="D162" s="70"/>
      <c r="E162" s="2" t="s">
        <v>114</v>
      </c>
      <c r="F162" s="51">
        <v>1</v>
      </c>
      <c r="G162" s="52">
        <v>0</v>
      </c>
      <c r="H162" s="51">
        <f>ROUND(F162*G162,2)</f>
        <v>0</v>
      </c>
      <c r="J162" s="41"/>
      <c r="Z162" s="51">
        <f>ROUND(IF(AQ162="5",BJ162,0),2)</f>
        <v>0</v>
      </c>
      <c r="AB162" s="51">
        <f>ROUND(IF(AQ162="1",BH162,0),2)</f>
        <v>0</v>
      </c>
      <c r="AC162" s="51">
        <f>ROUND(IF(AQ162="1",BI162,0),2)</f>
        <v>0</v>
      </c>
      <c r="AD162" s="51">
        <f>ROUND(IF(AQ162="7",BH162,0),2)</f>
        <v>0</v>
      </c>
      <c r="AE162" s="51">
        <f>ROUND(IF(AQ162="7",BI162,0),2)</f>
        <v>0</v>
      </c>
      <c r="AF162" s="51">
        <f>ROUND(IF(AQ162="2",BH162,0),2)</f>
        <v>0</v>
      </c>
      <c r="AG162" s="51">
        <f>ROUND(IF(AQ162="2",BI162,0),2)</f>
        <v>0</v>
      </c>
      <c r="AH162" s="51">
        <f>ROUND(IF(AQ162="0",BJ162,0),2)</f>
        <v>0</v>
      </c>
      <c r="AI162" s="35" t="s">
        <v>4</v>
      </c>
      <c r="AJ162" s="51">
        <f>IF(AN162=0,H162,0)</f>
        <v>0</v>
      </c>
      <c r="AK162" s="51">
        <f>IF(AN162=12,H162,0)</f>
        <v>0</v>
      </c>
      <c r="AL162" s="51">
        <f>IF(AN162=21,H162,0)</f>
        <v>0</v>
      </c>
      <c r="AN162" s="51">
        <v>12</v>
      </c>
      <c r="AO162" s="51">
        <f>G162*0</f>
        <v>0</v>
      </c>
      <c r="AP162" s="51">
        <f>G162*(1-0)</f>
        <v>0</v>
      </c>
      <c r="AQ162" s="53" t="s">
        <v>148</v>
      </c>
      <c r="AV162" s="51">
        <f>ROUND(AW162+AX162,2)</f>
        <v>0</v>
      </c>
      <c r="AW162" s="51">
        <f>ROUND(F162*AO162,2)</f>
        <v>0</v>
      </c>
      <c r="AX162" s="51">
        <f>ROUND(F162*AP162,2)</f>
        <v>0</v>
      </c>
      <c r="AY162" s="53" t="s">
        <v>471</v>
      </c>
      <c r="AZ162" s="53" t="s">
        <v>349</v>
      </c>
      <c r="BA162" s="35" t="s">
        <v>117</v>
      </c>
      <c r="BC162" s="51">
        <f>AW162+AX162</f>
        <v>0</v>
      </c>
      <c r="BD162" s="51">
        <f>G162/(100-BE162)*100</f>
        <v>0</v>
      </c>
      <c r="BE162" s="51">
        <v>0</v>
      </c>
      <c r="BF162" s="51">
        <f>162</f>
        <v>162</v>
      </c>
      <c r="BH162" s="51">
        <f>F162*AO162</f>
        <v>0</v>
      </c>
      <c r="BI162" s="51">
        <f>F162*AP162</f>
        <v>0</v>
      </c>
      <c r="BJ162" s="51">
        <f>F162*G162</f>
        <v>0</v>
      </c>
      <c r="BK162" s="53" t="s">
        <v>118</v>
      </c>
      <c r="BL162" s="51">
        <v>728</v>
      </c>
      <c r="BW162" s="51">
        <v>12</v>
      </c>
      <c r="BX162" s="3" t="s">
        <v>474</v>
      </c>
    </row>
    <row r="163" spans="1:76">
      <c r="A163" s="1" t="s">
        <v>475</v>
      </c>
      <c r="B163" s="2" t="s">
        <v>476</v>
      </c>
      <c r="C163" s="75" t="s">
        <v>477</v>
      </c>
      <c r="D163" s="70"/>
      <c r="E163" s="2" t="s">
        <v>114</v>
      </c>
      <c r="F163" s="51">
        <v>1</v>
      </c>
      <c r="G163" s="52">
        <v>0</v>
      </c>
      <c r="H163" s="51">
        <f>ROUND(F163*G163,2)</f>
        <v>0</v>
      </c>
      <c r="J163" s="41"/>
      <c r="Z163" s="51">
        <f>ROUND(IF(AQ163="5",BJ163,0),2)</f>
        <v>0</v>
      </c>
      <c r="AB163" s="51">
        <f>ROUND(IF(AQ163="1",BH163,0),2)</f>
        <v>0</v>
      </c>
      <c r="AC163" s="51">
        <f>ROUND(IF(AQ163="1",BI163,0),2)</f>
        <v>0</v>
      </c>
      <c r="AD163" s="51">
        <f>ROUND(IF(AQ163="7",BH163,0),2)</f>
        <v>0</v>
      </c>
      <c r="AE163" s="51">
        <f>ROUND(IF(AQ163="7",BI163,0),2)</f>
        <v>0</v>
      </c>
      <c r="AF163" s="51">
        <f>ROUND(IF(AQ163="2",BH163,0),2)</f>
        <v>0</v>
      </c>
      <c r="AG163" s="51">
        <f>ROUND(IF(AQ163="2",BI163,0),2)</f>
        <v>0</v>
      </c>
      <c r="AH163" s="51">
        <f>ROUND(IF(AQ163="0",BJ163,0),2)</f>
        <v>0</v>
      </c>
      <c r="AI163" s="35" t="s">
        <v>4</v>
      </c>
      <c r="AJ163" s="51">
        <f>IF(AN163=0,H163,0)</f>
        <v>0</v>
      </c>
      <c r="AK163" s="51">
        <f>IF(AN163=12,H163,0)</f>
        <v>0</v>
      </c>
      <c r="AL163" s="51">
        <f>IF(AN163=21,H163,0)</f>
        <v>0</v>
      </c>
      <c r="AN163" s="51">
        <v>12</v>
      </c>
      <c r="AO163" s="51">
        <f>G163*1</f>
        <v>0</v>
      </c>
      <c r="AP163" s="51">
        <f>G163*(1-1)</f>
        <v>0</v>
      </c>
      <c r="AQ163" s="53" t="s">
        <v>148</v>
      </c>
      <c r="AV163" s="51">
        <f>ROUND(AW163+AX163,2)</f>
        <v>0</v>
      </c>
      <c r="AW163" s="51">
        <f>ROUND(F163*AO163,2)</f>
        <v>0</v>
      </c>
      <c r="AX163" s="51">
        <f>ROUND(F163*AP163,2)</f>
        <v>0</v>
      </c>
      <c r="AY163" s="53" t="s">
        <v>471</v>
      </c>
      <c r="AZ163" s="53" t="s">
        <v>349</v>
      </c>
      <c r="BA163" s="35" t="s">
        <v>117</v>
      </c>
      <c r="BC163" s="51">
        <f>AW163+AX163</f>
        <v>0</v>
      </c>
      <c r="BD163" s="51">
        <f>G163/(100-BE163)*100</f>
        <v>0</v>
      </c>
      <c r="BE163" s="51">
        <v>0</v>
      </c>
      <c r="BF163" s="51">
        <f>163</f>
        <v>163</v>
      </c>
      <c r="BH163" s="51">
        <f>F163*AO163</f>
        <v>0</v>
      </c>
      <c r="BI163" s="51">
        <f>F163*AP163</f>
        <v>0</v>
      </c>
      <c r="BJ163" s="51">
        <f>F163*G163</f>
        <v>0</v>
      </c>
      <c r="BK163" s="53" t="s">
        <v>256</v>
      </c>
      <c r="BL163" s="51">
        <v>728</v>
      </c>
      <c r="BW163" s="51">
        <v>12</v>
      </c>
      <c r="BX163" s="3" t="s">
        <v>477</v>
      </c>
    </row>
    <row r="164" spans="1:76">
      <c r="A164" s="47" t="s">
        <v>4</v>
      </c>
      <c r="B164" s="48" t="s">
        <v>478</v>
      </c>
      <c r="C164" s="150" t="s">
        <v>479</v>
      </c>
      <c r="D164" s="151"/>
      <c r="E164" s="49" t="s">
        <v>79</v>
      </c>
      <c r="F164" s="49" t="s">
        <v>79</v>
      </c>
      <c r="G164" s="50" t="s">
        <v>79</v>
      </c>
      <c r="H164" s="28">
        <f>SUM(H165:H165)</f>
        <v>0</v>
      </c>
      <c r="J164" s="41"/>
      <c r="AI164" s="35" t="s">
        <v>4</v>
      </c>
      <c r="AS164" s="28">
        <f>SUM(AJ165:AJ165)</f>
        <v>0</v>
      </c>
      <c r="AT164" s="28">
        <f>SUM(AK165:AK165)</f>
        <v>0</v>
      </c>
      <c r="AU164" s="28">
        <f>SUM(AL165:AL165)</f>
        <v>0</v>
      </c>
    </row>
    <row r="165" spans="1:76">
      <c r="A165" s="1" t="s">
        <v>480</v>
      </c>
      <c r="B165" s="2" t="s">
        <v>481</v>
      </c>
      <c r="C165" s="75" t="s">
        <v>482</v>
      </c>
      <c r="D165" s="70"/>
      <c r="E165" s="2" t="s">
        <v>251</v>
      </c>
      <c r="F165" s="51">
        <v>1</v>
      </c>
      <c r="G165" s="52">
        <v>0</v>
      </c>
      <c r="H165" s="51">
        <f>ROUND(F165*G165,2)</f>
        <v>0</v>
      </c>
      <c r="J165" s="41"/>
      <c r="Z165" s="51">
        <f>ROUND(IF(AQ165="5",BJ165,0),2)</f>
        <v>0</v>
      </c>
      <c r="AB165" s="51">
        <f>ROUND(IF(AQ165="1",BH165,0),2)</f>
        <v>0</v>
      </c>
      <c r="AC165" s="51">
        <f>ROUND(IF(AQ165="1",BI165,0),2)</f>
        <v>0</v>
      </c>
      <c r="AD165" s="51">
        <f>ROUND(IF(AQ165="7",BH165,0),2)</f>
        <v>0</v>
      </c>
      <c r="AE165" s="51">
        <f>ROUND(IF(AQ165="7",BI165,0),2)</f>
        <v>0</v>
      </c>
      <c r="AF165" s="51">
        <f>ROUND(IF(AQ165="2",BH165,0),2)</f>
        <v>0</v>
      </c>
      <c r="AG165" s="51">
        <f>ROUND(IF(AQ165="2",BI165,0),2)</f>
        <v>0</v>
      </c>
      <c r="AH165" s="51">
        <f>ROUND(IF(AQ165="0",BJ165,0),2)</f>
        <v>0</v>
      </c>
      <c r="AI165" s="35" t="s">
        <v>4</v>
      </c>
      <c r="AJ165" s="51">
        <f>IF(AN165=0,H165,0)</f>
        <v>0</v>
      </c>
      <c r="AK165" s="51">
        <f>IF(AN165=12,H165,0)</f>
        <v>0</v>
      </c>
      <c r="AL165" s="51">
        <f>IF(AN165=21,H165,0)</f>
        <v>0</v>
      </c>
      <c r="AN165" s="51">
        <v>12</v>
      </c>
      <c r="AO165" s="51">
        <f>G165*0.3452</f>
        <v>0</v>
      </c>
      <c r="AP165" s="51">
        <f>G165*(1-0.3452)</f>
        <v>0</v>
      </c>
      <c r="AQ165" s="53" t="s">
        <v>148</v>
      </c>
      <c r="AV165" s="51">
        <f>ROUND(AW165+AX165,2)</f>
        <v>0</v>
      </c>
      <c r="AW165" s="51">
        <f>ROUND(F165*AO165,2)</f>
        <v>0</v>
      </c>
      <c r="AX165" s="51">
        <f>ROUND(F165*AP165,2)</f>
        <v>0</v>
      </c>
      <c r="AY165" s="53" t="s">
        <v>483</v>
      </c>
      <c r="AZ165" s="53" t="s">
        <v>484</v>
      </c>
      <c r="BA165" s="35" t="s">
        <v>117</v>
      </c>
      <c r="BC165" s="51">
        <f>AW165+AX165</f>
        <v>0</v>
      </c>
      <c r="BD165" s="51">
        <f>G165/(100-BE165)*100</f>
        <v>0</v>
      </c>
      <c r="BE165" s="51">
        <v>0</v>
      </c>
      <c r="BF165" s="51">
        <f>165</f>
        <v>165</v>
      </c>
      <c r="BH165" s="51">
        <f>F165*AO165</f>
        <v>0</v>
      </c>
      <c r="BI165" s="51">
        <f>F165*AP165</f>
        <v>0</v>
      </c>
      <c r="BJ165" s="51">
        <f>F165*G165</f>
        <v>0</v>
      </c>
      <c r="BK165" s="53" t="s">
        <v>118</v>
      </c>
      <c r="BL165" s="51">
        <v>735</v>
      </c>
      <c r="BW165" s="51">
        <v>12</v>
      </c>
      <c r="BX165" s="3" t="s">
        <v>482</v>
      </c>
    </row>
    <row r="166" spans="1:76">
      <c r="A166" s="47" t="s">
        <v>4</v>
      </c>
      <c r="B166" s="48" t="s">
        <v>485</v>
      </c>
      <c r="C166" s="150" t="s">
        <v>486</v>
      </c>
      <c r="D166" s="151"/>
      <c r="E166" s="49" t="s">
        <v>79</v>
      </c>
      <c r="F166" s="49" t="s">
        <v>79</v>
      </c>
      <c r="G166" s="50" t="s">
        <v>79</v>
      </c>
      <c r="H166" s="28">
        <f>SUM(H167:H182)</f>
        <v>0</v>
      </c>
      <c r="J166" s="41"/>
      <c r="AI166" s="35" t="s">
        <v>4</v>
      </c>
      <c r="AS166" s="28">
        <f>SUM(AJ167:AJ182)</f>
        <v>0</v>
      </c>
      <c r="AT166" s="28">
        <f>SUM(AK167:AK182)</f>
        <v>0</v>
      </c>
      <c r="AU166" s="28">
        <f>SUM(AL167:AL182)</f>
        <v>0</v>
      </c>
    </row>
    <row r="167" spans="1:76">
      <c r="A167" s="1" t="s">
        <v>487</v>
      </c>
      <c r="B167" s="2" t="s">
        <v>488</v>
      </c>
      <c r="C167" s="75" t="s">
        <v>489</v>
      </c>
      <c r="D167" s="70"/>
      <c r="E167" s="2" t="s">
        <v>114</v>
      </c>
      <c r="F167" s="51">
        <v>3</v>
      </c>
      <c r="G167" s="52">
        <v>0</v>
      </c>
      <c r="H167" s="51">
        <f>ROUND(F167*G167,2)</f>
        <v>0</v>
      </c>
      <c r="J167" s="41"/>
      <c r="Z167" s="51">
        <f>ROUND(IF(AQ167="5",BJ167,0),2)</f>
        <v>0</v>
      </c>
      <c r="AB167" s="51">
        <f>ROUND(IF(AQ167="1",BH167,0),2)</f>
        <v>0</v>
      </c>
      <c r="AC167" s="51">
        <f>ROUND(IF(AQ167="1",BI167,0),2)</f>
        <v>0</v>
      </c>
      <c r="AD167" s="51">
        <f>ROUND(IF(AQ167="7",BH167,0),2)</f>
        <v>0</v>
      </c>
      <c r="AE167" s="51">
        <f>ROUND(IF(AQ167="7",BI167,0),2)</f>
        <v>0</v>
      </c>
      <c r="AF167" s="51">
        <f>ROUND(IF(AQ167="2",BH167,0),2)</f>
        <v>0</v>
      </c>
      <c r="AG167" s="51">
        <f>ROUND(IF(AQ167="2",BI167,0),2)</f>
        <v>0</v>
      </c>
      <c r="AH167" s="51">
        <f>ROUND(IF(AQ167="0",BJ167,0),2)</f>
        <v>0</v>
      </c>
      <c r="AI167" s="35" t="s">
        <v>4</v>
      </c>
      <c r="AJ167" s="51">
        <f>IF(AN167=0,H167,0)</f>
        <v>0</v>
      </c>
      <c r="AK167" s="51">
        <f>IF(AN167=12,H167,0)</f>
        <v>0</v>
      </c>
      <c r="AL167" s="51">
        <f>IF(AN167=21,H167,0)</f>
        <v>0</v>
      </c>
      <c r="AN167" s="51">
        <v>12</v>
      </c>
      <c r="AO167" s="51">
        <f>G167*0</f>
        <v>0</v>
      </c>
      <c r="AP167" s="51">
        <f>G167*(1-0)</f>
        <v>0</v>
      </c>
      <c r="AQ167" s="53" t="s">
        <v>148</v>
      </c>
      <c r="AV167" s="51">
        <f>ROUND(AW167+AX167,2)</f>
        <v>0</v>
      </c>
      <c r="AW167" s="51">
        <f>ROUND(F167*AO167,2)</f>
        <v>0</v>
      </c>
      <c r="AX167" s="51">
        <f>ROUND(F167*AP167,2)</f>
        <v>0</v>
      </c>
      <c r="AY167" s="53" t="s">
        <v>490</v>
      </c>
      <c r="AZ167" s="53" t="s">
        <v>491</v>
      </c>
      <c r="BA167" s="35" t="s">
        <v>117</v>
      </c>
      <c r="BC167" s="51">
        <f>AW167+AX167</f>
        <v>0</v>
      </c>
      <c r="BD167" s="51">
        <f>G167/(100-BE167)*100</f>
        <v>0</v>
      </c>
      <c r="BE167" s="51">
        <v>0</v>
      </c>
      <c r="BF167" s="51">
        <f>167</f>
        <v>167</v>
      </c>
      <c r="BH167" s="51">
        <f>F167*AO167</f>
        <v>0</v>
      </c>
      <c r="BI167" s="51">
        <f>F167*AP167</f>
        <v>0</v>
      </c>
      <c r="BJ167" s="51">
        <f>F167*G167</f>
        <v>0</v>
      </c>
      <c r="BK167" s="53" t="s">
        <v>118</v>
      </c>
      <c r="BL167" s="51">
        <v>766</v>
      </c>
      <c r="BW167" s="51">
        <v>12</v>
      </c>
      <c r="BX167" s="3" t="s">
        <v>489</v>
      </c>
    </row>
    <row r="168" spans="1:76">
      <c r="A168" s="54"/>
      <c r="C168" s="56" t="s">
        <v>127</v>
      </c>
      <c r="D168" s="57" t="s">
        <v>4</v>
      </c>
      <c r="F168" s="58">
        <v>3</v>
      </c>
      <c r="J168" s="41"/>
    </row>
    <row r="169" spans="1:76">
      <c r="A169" s="1" t="s">
        <v>492</v>
      </c>
      <c r="B169" s="2" t="s">
        <v>493</v>
      </c>
      <c r="C169" s="75" t="s">
        <v>494</v>
      </c>
      <c r="D169" s="70"/>
      <c r="E169" s="2" t="s">
        <v>114</v>
      </c>
      <c r="F169" s="51">
        <v>1</v>
      </c>
      <c r="G169" s="52">
        <v>0</v>
      </c>
      <c r="H169" s="51">
        <f t="shared" ref="H169:H182" si="80">ROUND(F169*G169,2)</f>
        <v>0</v>
      </c>
      <c r="J169" s="41"/>
      <c r="Z169" s="51">
        <f t="shared" ref="Z169:Z182" si="81">ROUND(IF(AQ169="5",BJ169,0),2)</f>
        <v>0</v>
      </c>
      <c r="AB169" s="51">
        <f t="shared" ref="AB169:AB182" si="82">ROUND(IF(AQ169="1",BH169,0),2)</f>
        <v>0</v>
      </c>
      <c r="AC169" s="51">
        <f t="shared" ref="AC169:AC182" si="83">ROUND(IF(AQ169="1",BI169,0),2)</f>
        <v>0</v>
      </c>
      <c r="AD169" s="51">
        <f t="shared" ref="AD169:AD182" si="84">ROUND(IF(AQ169="7",BH169,0),2)</f>
        <v>0</v>
      </c>
      <c r="AE169" s="51">
        <f t="shared" ref="AE169:AE182" si="85">ROUND(IF(AQ169="7",BI169,0),2)</f>
        <v>0</v>
      </c>
      <c r="AF169" s="51">
        <f t="shared" ref="AF169:AF182" si="86">ROUND(IF(AQ169="2",BH169,0),2)</f>
        <v>0</v>
      </c>
      <c r="AG169" s="51">
        <f t="shared" ref="AG169:AG182" si="87">ROUND(IF(AQ169="2",BI169,0),2)</f>
        <v>0</v>
      </c>
      <c r="AH169" s="51">
        <f t="shared" ref="AH169:AH182" si="88">ROUND(IF(AQ169="0",BJ169,0),2)</f>
        <v>0</v>
      </c>
      <c r="AI169" s="35" t="s">
        <v>4</v>
      </c>
      <c r="AJ169" s="51">
        <f t="shared" ref="AJ169:AJ182" si="89">IF(AN169=0,H169,0)</f>
        <v>0</v>
      </c>
      <c r="AK169" s="51">
        <f t="shared" ref="AK169:AK182" si="90">IF(AN169=12,H169,0)</f>
        <v>0</v>
      </c>
      <c r="AL169" s="51">
        <f t="shared" ref="AL169:AL182" si="91">IF(AN169=21,H169,0)</f>
        <v>0</v>
      </c>
      <c r="AN169" s="51">
        <v>12</v>
      </c>
      <c r="AO169" s="51">
        <f t="shared" ref="AO169:AO177" si="92">G169*0</f>
        <v>0</v>
      </c>
      <c r="AP169" s="51">
        <f t="shared" ref="AP169:AP177" si="93">G169*(1-0)</f>
        <v>0</v>
      </c>
      <c r="AQ169" s="53" t="s">
        <v>148</v>
      </c>
      <c r="AV169" s="51">
        <f t="shared" ref="AV169:AV182" si="94">ROUND(AW169+AX169,2)</f>
        <v>0</v>
      </c>
      <c r="AW169" s="51">
        <f t="shared" ref="AW169:AW182" si="95">ROUND(F169*AO169,2)</f>
        <v>0</v>
      </c>
      <c r="AX169" s="51">
        <f t="shared" ref="AX169:AX182" si="96">ROUND(F169*AP169,2)</f>
        <v>0</v>
      </c>
      <c r="AY169" s="53" t="s">
        <v>490</v>
      </c>
      <c r="AZ169" s="53" t="s">
        <v>491</v>
      </c>
      <c r="BA169" s="35" t="s">
        <v>117</v>
      </c>
      <c r="BC169" s="51">
        <f t="shared" ref="BC169:BC182" si="97">AW169+AX169</f>
        <v>0</v>
      </c>
      <c r="BD169" s="51">
        <f t="shared" ref="BD169:BD182" si="98">G169/(100-BE169)*100</f>
        <v>0</v>
      </c>
      <c r="BE169" s="51">
        <v>0</v>
      </c>
      <c r="BF169" s="51">
        <f>169</f>
        <v>169</v>
      </c>
      <c r="BH169" s="51">
        <f t="shared" ref="BH169:BH182" si="99">F169*AO169</f>
        <v>0</v>
      </c>
      <c r="BI169" s="51">
        <f t="shared" ref="BI169:BI182" si="100">F169*AP169</f>
        <v>0</v>
      </c>
      <c r="BJ169" s="51">
        <f t="shared" ref="BJ169:BJ182" si="101">F169*G169</f>
        <v>0</v>
      </c>
      <c r="BK169" s="53" t="s">
        <v>118</v>
      </c>
      <c r="BL169" s="51">
        <v>766</v>
      </c>
      <c r="BW169" s="51">
        <v>12</v>
      </c>
      <c r="BX169" s="3" t="s">
        <v>494</v>
      </c>
    </row>
    <row r="170" spans="1:76">
      <c r="A170" s="1" t="s">
        <v>495</v>
      </c>
      <c r="B170" s="2" t="s">
        <v>496</v>
      </c>
      <c r="C170" s="75" t="s">
        <v>497</v>
      </c>
      <c r="D170" s="70"/>
      <c r="E170" s="2" t="s">
        <v>114</v>
      </c>
      <c r="F170" s="51">
        <v>2</v>
      </c>
      <c r="G170" s="52">
        <v>0</v>
      </c>
      <c r="H170" s="51">
        <f t="shared" si="80"/>
        <v>0</v>
      </c>
      <c r="J170" s="41"/>
      <c r="Z170" s="51">
        <f t="shared" si="81"/>
        <v>0</v>
      </c>
      <c r="AB170" s="51">
        <f t="shared" si="82"/>
        <v>0</v>
      </c>
      <c r="AC170" s="51">
        <f t="shared" si="83"/>
        <v>0</v>
      </c>
      <c r="AD170" s="51">
        <f t="shared" si="84"/>
        <v>0</v>
      </c>
      <c r="AE170" s="51">
        <f t="shared" si="85"/>
        <v>0</v>
      </c>
      <c r="AF170" s="51">
        <f t="shared" si="86"/>
        <v>0</v>
      </c>
      <c r="AG170" s="51">
        <f t="shared" si="87"/>
        <v>0</v>
      </c>
      <c r="AH170" s="51">
        <f t="shared" si="88"/>
        <v>0</v>
      </c>
      <c r="AI170" s="35" t="s">
        <v>4</v>
      </c>
      <c r="AJ170" s="51">
        <f t="shared" si="89"/>
        <v>0</v>
      </c>
      <c r="AK170" s="51">
        <f t="shared" si="90"/>
        <v>0</v>
      </c>
      <c r="AL170" s="51">
        <f t="shared" si="91"/>
        <v>0</v>
      </c>
      <c r="AN170" s="51">
        <v>12</v>
      </c>
      <c r="AO170" s="51">
        <f t="shared" si="92"/>
        <v>0</v>
      </c>
      <c r="AP170" s="51">
        <f t="shared" si="93"/>
        <v>0</v>
      </c>
      <c r="AQ170" s="53" t="s">
        <v>148</v>
      </c>
      <c r="AV170" s="51">
        <f t="shared" si="94"/>
        <v>0</v>
      </c>
      <c r="AW170" s="51">
        <f t="shared" si="95"/>
        <v>0</v>
      </c>
      <c r="AX170" s="51">
        <f t="shared" si="96"/>
        <v>0</v>
      </c>
      <c r="AY170" s="53" t="s">
        <v>490</v>
      </c>
      <c r="AZ170" s="53" t="s">
        <v>491</v>
      </c>
      <c r="BA170" s="35" t="s">
        <v>117</v>
      </c>
      <c r="BC170" s="51">
        <f t="shared" si="97"/>
        <v>0</v>
      </c>
      <c r="BD170" s="51">
        <f t="shared" si="98"/>
        <v>0</v>
      </c>
      <c r="BE170" s="51">
        <v>0</v>
      </c>
      <c r="BF170" s="51">
        <f>170</f>
        <v>170</v>
      </c>
      <c r="BH170" s="51">
        <f t="shared" si="99"/>
        <v>0</v>
      </c>
      <c r="BI170" s="51">
        <f t="shared" si="100"/>
        <v>0</v>
      </c>
      <c r="BJ170" s="51">
        <f t="shared" si="101"/>
        <v>0</v>
      </c>
      <c r="BK170" s="53" t="s">
        <v>118</v>
      </c>
      <c r="BL170" s="51">
        <v>766</v>
      </c>
      <c r="BW170" s="51">
        <v>12</v>
      </c>
      <c r="BX170" s="3" t="s">
        <v>497</v>
      </c>
    </row>
    <row r="171" spans="1:76">
      <c r="A171" s="1" t="s">
        <v>498</v>
      </c>
      <c r="B171" s="2" t="s">
        <v>499</v>
      </c>
      <c r="C171" s="75" t="s">
        <v>500</v>
      </c>
      <c r="D171" s="70"/>
      <c r="E171" s="2" t="s">
        <v>114</v>
      </c>
      <c r="F171" s="51">
        <v>1</v>
      </c>
      <c r="G171" s="52">
        <v>0</v>
      </c>
      <c r="H171" s="51">
        <f t="shared" si="80"/>
        <v>0</v>
      </c>
      <c r="J171" s="41"/>
      <c r="Z171" s="51">
        <f t="shared" si="81"/>
        <v>0</v>
      </c>
      <c r="AB171" s="51">
        <f t="shared" si="82"/>
        <v>0</v>
      </c>
      <c r="AC171" s="51">
        <f t="shared" si="83"/>
        <v>0</v>
      </c>
      <c r="AD171" s="51">
        <f t="shared" si="84"/>
        <v>0</v>
      </c>
      <c r="AE171" s="51">
        <f t="shared" si="85"/>
        <v>0</v>
      </c>
      <c r="AF171" s="51">
        <f t="shared" si="86"/>
        <v>0</v>
      </c>
      <c r="AG171" s="51">
        <f t="shared" si="87"/>
        <v>0</v>
      </c>
      <c r="AH171" s="51">
        <f t="shared" si="88"/>
        <v>0</v>
      </c>
      <c r="AI171" s="35" t="s">
        <v>4</v>
      </c>
      <c r="AJ171" s="51">
        <f t="shared" si="89"/>
        <v>0</v>
      </c>
      <c r="AK171" s="51">
        <f t="shared" si="90"/>
        <v>0</v>
      </c>
      <c r="AL171" s="51">
        <f t="shared" si="91"/>
        <v>0</v>
      </c>
      <c r="AN171" s="51">
        <v>12</v>
      </c>
      <c r="AO171" s="51">
        <f t="shared" si="92"/>
        <v>0</v>
      </c>
      <c r="AP171" s="51">
        <f t="shared" si="93"/>
        <v>0</v>
      </c>
      <c r="AQ171" s="53" t="s">
        <v>148</v>
      </c>
      <c r="AV171" s="51">
        <f t="shared" si="94"/>
        <v>0</v>
      </c>
      <c r="AW171" s="51">
        <f t="shared" si="95"/>
        <v>0</v>
      </c>
      <c r="AX171" s="51">
        <f t="shared" si="96"/>
        <v>0</v>
      </c>
      <c r="AY171" s="53" t="s">
        <v>490</v>
      </c>
      <c r="AZ171" s="53" t="s">
        <v>491</v>
      </c>
      <c r="BA171" s="35" t="s">
        <v>117</v>
      </c>
      <c r="BC171" s="51">
        <f t="shared" si="97"/>
        <v>0</v>
      </c>
      <c r="BD171" s="51">
        <f t="shared" si="98"/>
        <v>0</v>
      </c>
      <c r="BE171" s="51">
        <v>0</v>
      </c>
      <c r="BF171" s="51">
        <f>171</f>
        <v>171</v>
      </c>
      <c r="BH171" s="51">
        <f t="shared" si="99"/>
        <v>0</v>
      </c>
      <c r="BI171" s="51">
        <f t="shared" si="100"/>
        <v>0</v>
      </c>
      <c r="BJ171" s="51">
        <f t="shared" si="101"/>
        <v>0</v>
      </c>
      <c r="BK171" s="53" t="s">
        <v>118</v>
      </c>
      <c r="BL171" s="51">
        <v>766</v>
      </c>
      <c r="BW171" s="51">
        <v>12</v>
      </c>
      <c r="BX171" s="3" t="s">
        <v>500</v>
      </c>
    </row>
    <row r="172" spans="1:76">
      <c r="A172" s="1" t="s">
        <v>501</v>
      </c>
      <c r="B172" s="2" t="s">
        <v>502</v>
      </c>
      <c r="C172" s="75" t="s">
        <v>503</v>
      </c>
      <c r="D172" s="70"/>
      <c r="E172" s="2" t="s">
        <v>114</v>
      </c>
      <c r="F172" s="51">
        <v>4</v>
      </c>
      <c r="G172" s="52">
        <v>0</v>
      </c>
      <c r="H172" s="51">
        <f t="shared" si="80"/>
        <v>0</v>
      </c>
      <c r="J172" s="41"/>
      <c r="Z172" s="51">
        <f t="shared" si="81"/>
        <v>0</v>
      </c>
      <c r="AB172" s="51">
        <f t="shared" si="82"/>
        <v>0</v>
      </c>
      <c r="AC172" s="51">
        <f t="shared" si="83"/>
        <v>0</v>
      </c>
      <c r="AD172" s="51">
        <f t="shared" si="84"/>
        <v>0</v>
      </c>
      <c r="AE172" s="51">
        <f t="shared" si="85"/>
        <v>0</v>
      </c>
      <c r="AF172" s="51">
        <f t="shared" si="86"/>
        <v>0</v>
      </c>
      <c r="AG172" s="51">
        <f t="shared" si="87"/>
        <v>0</v>
      </c>
      <c r="AH172" s="51">
        <f t="shared" si="88"/>
        <v>0</v>
      </c>
      <c r="AI172" s="35" t="s">
        <v>4</v>
      </c>
      <c r="AJ172" s="51">
        <f t="shared" si="89"/>
        <v>0</v>
      </c>
      <c r="AK172" s="51">
        <f t="shared" si="90"/>
        <v>0</v>
      </c>
      <c r="AL172" s="51">
        <f t="shared" si="91"/>
        <v>0</v>
      </c>
      <c r="AN172" s="51">
        <v>12</v>
      </c>
      <c r="AO172" s="51">
        <f t="shared" si="92"/>
        <v>0</v>
      </c>
      <c r="AP172" s="51">
        <f t="shared" si="93"/>
        <v>0</v>
      </c>
      <c r="AQ172" s="53" t="s">
        <v>148</v>
      </c>
      <c r="AV172" s="51">
        <f t="shared" si="94"/>
        <v>0</v>
      </c>
      <c r="AW172" s="51">
        <f t="shared" si="95"/>
        <v>0</v>
      </c>
      <c r="AX172" s="51">
        <f t="shared" si="96"/>
        <v>0</v>
      </c>
      <c r="AY172" s="53" t="s">
        <v>490</v>
      </c>
      <c r="AZ172" s="53" t="s">
        <v>491</v>
      </c>
      <c r="BA172" s="35" t="s">
        <v>117</v>
      </c>
      <c r="BC172" s="51">
        <f t="shared" si="97"/>
        <v>0</v>
      </c>
      <c r="BD172" s="51">
        <f t="shared" si="98"/>
        <v>0</v>
      </c>
      <c r="BE172" s="51">
        <v>0</v>
      </c>
      <c r="BF172" s="51">
        <f>172</f>
        <v>172</v>
      </c>
      <c r="BH172" s="51">
        <f t="shared" si="99"/>
        <v>0</v>
      </c>
      <c r="BI172" s="51">
        <f t="shared" si="100"/>
        <v>0</v>
      </c>
      <c r="BJ172" s="51">
        <f t="shared" si="101"/>
        <v>0</v>
      </c>
      <c r="BK172" s="53" t="s">
        <v>118</v>
      </c>
      <c r="BL172" s="51">
        <v>766</v>
      </c>
      <c r="BW172" s="51">
        <v>12</v>
      </c>
      <c r="BX172" s="3" t="s">
        <v>503</v>
      </c>
    </row>
    <row r="173" spans="1:76">
      <c r="A173" s="1" t="s">
        <v>504</v>
      </c>
      <c r="B173" s="2" t="s">
        <v>505</v>
      </c>
      <c r="C173" s="75" t="s">
        <v>506</v>
      </c>
      <c r="D173" s="70"/>
      <c r="E173" s="2" t="s">
        <v>114</v>
      </c>
      <c r="F173" s="51">
        <v>1</v>
      </c>
      <c r="G173" s="52">
        <v>0</v>
      </c>
      <c r="H173" s="51">
        <f t="shared" si="80"/>
        <v>0</v>
      </c>
      <c r="J173" s="41"/>
      <c r="Z173" s="51">
        <f t="shared" si="81"/>
        <v>0</v>
      </c>
      <c r="AB173" s="51">
        <f t="shared" si="82"/>
        <v>0</v>
      </c>
      <c r="AC173" s="51">
        <f t="shared" si="83"/>
        <v>0</v>
      </c>
      <c r="AD173" s="51">
        <f t="shared" si="84"/>
        <v>0</v>
      </c>
      <c r="AE173" s="51">
        <f t="shared" si="85"/>
        <v>0</v>
      </c>
      <c r="AF173" s="51">
        <f t="shared" si="86"/>
        <v>0</v>
      </c>
      <c r="AG173" s="51">
        <f t="shared" si="87"/>
        <v>0</v>
      </c>
      <c r="AH173" s="51">
        <f t="shared" si="88"/>
        <v>0</v>
      </c>
      <c r="AI173" s="35" t="s">
        <v>4</v>
      </c>
      <c r="AJ173" s="51">
        <f t="shared" si="89"/>
        <v>0</v>
      </c>
      <c r="AK173" s="51">
        <f t="shared" si="90"/>
        <v>0</v>
      </c>
      <c r="AL173" s="51">
        <f t="shared" si="91"/>
        <v>0</v>
      </c>
      <c r="AN173" s="51">
        <v>12</v>
      </c>
      <c r="AO173" s="51">
        <f t="shared" si="92"/>
        <v>0</v>
      </c>
      <c r="AP173" s="51">
        <f t="shared" si="93"/>
        <v>0</v>
      </c>
      <c r="AQ173" s="53" t="s">
        <v>148</v>
      </c>
      <c r="AV173" s="51">
        <f t="shared" si="94"/>
        <v>0</v>
      </c>
      <c r="AW173" s="51">
        <f t="shared" si="95"/>
        <v>0</v>
      </c>
      <c r="AX173" s="51">
        <f t="shared" si="96"/>
        <v>0</v>
      </c>
      <c r="AY173" s="53" t="s">
        <v>490</v>
      </c>
      <c r="AZ173" s="53" t="s">
        <v>491</v>
      </c>
      <c r="BA173" s="35" t="s">
        <v>117</v>
      </c>
      <c r="BC173" s="51">
        <f t="shared" si="97"/>
        <v>0</v>
      </c>
      <c r="BD173" s="51">
        <f t="shared" si="98"/>
        <v>0</v>
      </c>
      <c r="BE173" s="51">
        <v>0</v>
      </c>
      <c r="BF173" s="51">
        <f>173</f>
        <v>173</v>
      </c>
      <c r="BH173" s="51">
        <f t="shared" si="99"/>
        <v>0</v>
      </c>
      <c r="BI173" s="51">
        <f t="shared" si="100"/>
        <v>0</v>
      </c>
      <c r="BJ173" s="51">
        <f t="shared" si="101"/>
        <v>0</v>
      </c>
      <c r="BK173" s="53" t="s">
        <v>118</v>
      </c>
      <c r="BL173" s="51">
        <v>766</v>
      </c>
      <c r="BW173" s="51">
        <v>12</v>
      </c>
      <c r="BX173" s="3" t="s">
        <v>506</v>
      </c>
    </row>
    <row r="174" spans="1:76">
      <c r="A174" s="1" t="s">
        <v>507</v>
      </c>
      <c r="B174" s="2" t="s">
        <v>508</v>
      </c>
      <c r="C174" s="75" t="s">
        <v>509</v>
      </c>
      <c r="D174" s="70"/>
      <c r="E174" s="2" t="s">
        <v>114</v>
      </c>
      <c r="F174" s="51">
        <v>1</v>
      </c>
      <c r="G174" s="52">
        <v>0</v>
      </c>
      <c r="H174" s="51">
        <f t="shared" si="80"/>
        <v>0</v>
      </c>
      <c r="J174" s="41"/>
      <c r="Z174" s="51">
        <f t="shared" si="81"/>
        <v>0</v>
      </c>
      <c r="AB174" s="51">
        <f t="shared" si="82"/>
        <v>0</v>
      </c>
      <c r="AC174" s="51">
        <f t="shared" si="83"/>
        <v>0</v>
      </c>
      <c r="AD174" s="51">
        <f t="shared" si="84"/>
        <v>0</v>
      </c>
      <c r="AE174" s="51">
        <f t="shared" si="85"/>
        <v>0</v>
      </c>
      <c r="AF174" s="51">
        <f t="shared" si="86"/>
        <v>0</v>
      </c>
      <c r="AG174" s="51">
        <f t="shared" si="87"/>
        <v>0</v>
      </c>
      <c r="AH174" s="51">
        <f t="shared" si="88"/>
        <v>0</v>
      </c>
      <c r="AI174" s="35" t="s">
        <v>4</v>
      </c>
      <c r="AJ174" s="51">
        <f t="shared" si="89"/>
        <v>0</v>
      </c>
      <c r="AK174" s="51">
        <f t="shared" si="90"/>
        <v>0</v>
      </c>
      <c r="AL174" s="51">
        <f t="shared" si="91"/>
        <v>0</v>
      </c>
      <c r="AN174" s="51">
        <v>12</v>
      </c>
      <c r="AO174" s="51">
        <f t="shared" si="92"/>
        <v>0</v>
      </c>
      <c r="AP174" s="51">
        <f t="shared" si="93"/>
        <v>0</v>
      </c>
      <c r="AQ174" s="53" t="s">
        <v>148</v>
      </c>
      <c r="AV174" s="51">
        <f t="shared" si="94"/>
        <v>0</v>
      </c>
      <c r="AW174" s="51">
        <f t="shared" si="95"/>
        <v>0</v>
      </c>
      <c r="AX174" s="51">
        <f t="shared" si="96"/>
        <v>0</v>
      </c>
      <c r="AY174" s="53" t="s">
        <v>490</v>
      </c>
      <c r="AZ174" s="53" t="s">
        <v>491</v>
      </c>
      <c r="BA174" s="35" t="s">
        <v>117</v>
      </c>
      <c r="BC174" s="51">
        <f t="shared" si="97"/>
        <v>0</v>
      </c>
      <c r="BD174" s="51">
        <f t="shared" si="98"/>
        <v>0</v>
      </c>
      <c r="BE174" s="51">
        <v>0</v>
      </c>
      <c r="BF174" s="51">
        <f>174</f>
        <v>174</v>
      </c>
      <c r="BH174" s="51">
        <f t="shared" si="99"/>
        <v>0</v>
      </c>
      <c r="BI174" s="51">
        <f t="shared" si="100"/>
        <v>0</v>
      </c>
      <c r="BJ174" s="51">
        <f t="shared" si="101"/>
        <v>0</v>
      </c>
      <c r="BK174" s="53" t="s">
        <v>118</v>
      </c>
      <c r="BL174" s="51">
        <v>766</v>
      </c>
      <c r="BW174" s="51">
        <v>12</v>
      </c>
      <c r="BX174" s="3" t="s">
        <v>509</v>
      </c>
    </row>
    <row r="175" spans="1:76">
      <c r="A175" s="1" t="s">
        <v>510</v>
      </c>
      <c r="B175" s="2" t="s">
        <v>511</v>
      </c>
      <c r="C175" s="75" t="s">
        <v>512</v>
      </c>
      <c r="D175" s="70"/>
      <c r="E175" s="2" t="s">
        <v>114</v>
      </c>
      <c r="F175" s="51">
        <v>1</v>
      </c>
      <c r="G175" s="52">
        <v>0</v>
      </c>
      <c r="H175" s="51">
        <f t="shared" si="80"/>
        <v>0</v>
      </c>
      <c r="J175" s="41"/>
      <c r="Z175" s="51">
        <f t="shared" si="81"/>
        <v>0</v>
      </c>
      <c r="AB175" s="51">
        <f t="shared" si="82"/>
        <v>0</v>
      </c>
      <c r="AC175" s="51">
        <f t="shared" si="83"/>
        <v>0</v>
      </c>
      <c r="AD175" s="51">
        <f t="shared" si="84"/>
        <v>0</v>
      </c>
      <c r="AE175" s="51">
        <f t="shared" si="85"/>
        <v>0</v>
      </c>
      <c r="AF175" s="51">
        <f t="shared" si="86"/>
        <v>0</v>
      </c>
      <c r="AG175" s="51">
        <f t="shared" si="87"/>
        <v>0</v>
      </c>
      <c r="AH175" s="51">
        <f t="shared" si="88"/>
        <v>0</v>
      </c>
      <c r="AI175" s="35" t="s">
        <v>4</v>
      </c>
      <c r="AJ175" s="51">
        <f t="shared" si="89"/>
        <v>0</v>
      </c>
      <c r="AK175" s="51">
        <f t="shared" si="90"/>
        <v>0</v>
      </c>
      <c r="AL175" s="51">
        <f t="shared" si="91"/>
        <v>0</v>
      </c>
      <c r="AN175" s="51">
        <v>12</v>
      </c>
      <c r="AO175" s="51">
        <f t="shared" si="92"/>
        <v>0</v>
      </c>
      <c r="AP175" s="51">
        <f t="shared" si="93"/>
        <v>0</v>
      </c>
      <c r="AQ175" s="53" t="s">
        <v>148</v>
      </c>
      <c r="AV175" s="51">
        <f t="shared" si="94"/>
        <v>0</v>
      </c>
      <c r="AW175" s="51">
        <f t="shared" si="95"/>
        <v>0</v>
      </c>
      <c r="AX175" s="51">
        <f t="shared" si="96"/>
        <v>0</v>
      </c>
      <c r="AY175" s="53" t="s">
        <v>490</v>
      </c>
      <c r="AZ175" s="53" t="s">
        <v>491</v>
      </c>
      <c r="BA175" s="35" t="s">
        <v>117</v>
      </c>
      <c r="BC175" s="51">
        <f t="shared" si="97"/>
        <v>0</v>
      </c>
      <c r="BD175" s="51">
        <f t="shared" si="98"/>
        <v>0</v>
      </c>
      <c r="BE175" s="51">
        <v>0</v>
      </c>
      <c r="BF175" s="51">
        <f>175</f>
        <v>175</v>
      </c>
      <c r="BH175" s="51">
        <f t="shared" si="99"/>
        <v>0</v>
      </c>
      <c r="BI175" s="51">
        <f t="shared" si="100"/>
        <v>0</v>
      </c>
      <c r="BJ175" s="51">
        <f t="shared" si="101"/>
        <v>0</v>
      </c>
      <c r="BK175" s="53" t="s">
        <v>118</v>
      </c>
      <c r="BL175" s="51">
        <v>766</v>
      </c>
      <c r="BW175" s="51">
        <v>12</v>
      </c>
      <c r="BX175" s="3" t="s">
        <v>512</v>
      </c>
    </row>
    <row r="176" spans="1:76">
      <c r="A176" s="1" t="s">
        <v>232</v>
      </c>
      <c r="B176" s="2" t="s">
        <v>513</v>
      </c>
      <c r="C176" s="75" t="s">
        <v>514</v>
      </c>
      <c r="D176" s="70"/>
      <c r="E176" s="2" t="s">
        <v>515</v>
      </c>
      <c r="F176" s="51">
        <v>2</v>
      </c>
      <c r="G176" s="52">
        <v>0</v>
      </c>
      <c r="H176" s="51">
        <f t="shared" si="80"/>
        <v>0</v>
      </c>
      <c r="J176" s="41"/>
      <c r="Z176" s="51">
        <f t="shared" si="81"/>
        <v>0</v>
      </c>
      <c r="AB176" s="51">
        <f t="shared" si="82"/>
        <v>0</v>
      </c>
      <c r="AC176" s="51">
        <f t="shared" si="83"/>
        <v>0</v>
      </c>
      <c r="AD176" s="51">
        <f t="shared" si="84"/>
        <v>0</v>
      </c>
      <c r="AE176" s="51">
        <f t="shared" si="85"/>
        <v>0</v>
      </c>
      <c r="AF176" s="51">
        <f t="shared" si="86"/>
        <v>0</v>
      </c>
      <c r="AG176" s="51">
        <f t="shared" si="87"/>
        <v>0</v>
      </c>
      <c r="AH176" s="51">
        <f t="shared" si="88"/>
        <v>0</v>
      </c>
      <c r="AI176" s="35" t="s">
        <v>4</v>
      </c>
      <c r="AJ176" s="51">
        <f t="shared" si="89"/>
        <v>0</v>
      </c>
      <c r="AK176" s="51">
        <f t="shared" si="90"/>
        <v>0</v>
      </c>
      <c r="AL176" s="51">
        <f t="shared" si="91"/>
        <v>0</v>
      </c>
      <c r="AN176" s="51">
        <v>12</v>
      </c>
      <c r="AO176" s="51">
        <f t="shared" si="92"/>
        <v>0</v>
      </c>
      <c r="AP176" s="51">
        <f t="shared" si="93"/>
        <v>0</v>
      </c>
      <c r="AQ176" s="53" t="s">
        <v>148</v>
      </c>
      <c r="AV176" s="51">
        <f t="shared" si="94"/>
        <v>0</v>
      </c>
      <c r="AW176" s="51">
        <f t="shared" si="95"/>
        <v>0</v>
      </c>
      <c r="AX176" s="51">
        <f t="shared" si="96"/>
        <v>0</v>
      </c>
      <c r="AY176" s="53" t="s">
        <v>490</v>
      </c>
      <c r="AZ176" s="53" t="s">
        <v>491</v>
      </c>
      <c r="BA176" s="35" t="s">
        <v>117</v>
      </c>
      <c r="BC176" s="51">
        <f t="shared" si="97"/>
        <v>0</v>
      </c>
      <c r="BD176" s="51">
        <f t="shared" si="98"/>
        <v>0</v>
      </c>
      <c r="BE176" s="51">
        <v>0</v>
      </c>
      <c r="BF176" s="51">
        <f>176</f>
        <v>176</v>
      </c>
      <c r="BH176" s="51">
        <f t="shared" si="99"/>
        <v>0</v>
      </c>
      <c r="BI176" s="51">
        <f t="shared" si="100"/>
        <v>0</v>
      </c>
      <c r="BJ176" s="51">
        <f t="shared" si="101"/>
        <v>0</v>
      </c>
      <c r="BK176" s="53" t="s">
        <v>118</v>
      </c>
      <c r="BL176" s="51">
        <v>766</v>
      </c>
      <c r="BW176" s="51">
        <v>12</v>
      </c>
      <c r="BX176" s="3" t="s">
        <v>514</v>
      </c>
    </row>
    <row r="177" spans="1:76">
      <c r="A177" s="1" t="s">
        <v>257</v>
      </c>
      <c r="B177" s="2" t="s">
        <v>516</v>
      </c>
      <c r="C177" s="75" t="s">
        <v>517</v>
      </c>
      <c r="D177" s="70"/>
      <c r="E177" s="2" t="s">
        <v>415</v>
      </c>
      <c r="F177" s="51">
        <v>1</v>
      </c>
      <c r="G177" s="52">
        <v>0</v>
      </c>
      <c r="H177" s="51">
        <f t="shared" si="80"/>
        <v>0</v>
      </c>
      <c r="J177" s="41"/>
      <c r="Z177" s="51">
        <f t="shared" si="81"/>
        <v>0</v>
      </c>
      <c r="AB177" s="51">
        <f t="shared" si="82"/>
        <v>0</v>
      </c>
      <c r="AC177" s="51">
        <f t="shared" si="83"/>
        <v>0</v>
      </c>
      <c r="AD177" s="51">
        <f t="shared" si="84"/>
        <v>0</v>
      </c>
      <c r="AE177" s="51">
        <f t="shared" si="85"/>
        <v>0</v>
      </c>
      <c r="AF177" s="51">
        <f t="shared" si="86"/>
        <v>0</v>
      </c>
      <c r="AG177" s="51">
        <f t="shared" si="87"/>
        <v>0</v>
      </c>
      <c r="AH177" s="51">
        <f t="shared" si="88"/>
        <v>0</v>
      </c>
      <c r="AI177" s="35" t="s">
        <v>4</v>
      </c>
      <c r="AJ177" s="51">
        <f t="shared" si="89"/>
        <v>0</v>
      </c>
      <c r="AK177" s="51">
        <f t="shared" si="90"/>
        <v>0</v>
      </c>
      <c r="AL177" s="51">
        <f t="shared" si="91"/>
        <v>0</v>
      </c>
      <c r="AN177" s="51">
        <v>12</v>
      </c>
      <c r="AO177" s="51">
        <f t="shared" si="92"/>
        <v>0</v>
      </c>
      <c r="AP177" s="51">
        <f t="shared" si="93"/>
        <v>0</v>
      </c>
      <c r="AQ177" s="53" t="s">
        <v>148</v>
      </c>
      <c r="AV177" s="51">
        <f t="shared" si="94"/>
        <v>0</v>
      </c>
      <c r="AW177" s="51">
        <f t="shared" si="95"/>
        <v>0</v>
      </c>
      <c r="AX177" s="51">
        <f t="shared" si="96"/>
        <v>0</v>
      </c>
      <c r="AY177" s="53" t="s">
        <v>490</v>
      </c>
      <c r="AZ177" s="53" t="s">
        <v>491</v>
      </c>
      <c r="BA177" s="35" t="s">
        <v>117</v>
      </c>
      <c r="BC177" s="51">
        <f t="shared" si="97"/>
        <v>0</v>
      </c>
      <c r="BD177" s="51">
        <f t="shared" si="98"/>
        <v>0</v>
      </c>
      <c r="BE177" s="51">
        <v>0</v>
      </c>
      <c r="BF177" s="51">
        <f>177</f>
        <v>177</v>
      </c>
      <c r="BH177" s="51">
        <f t="shared" si="99"/>
        <v>0</v>
      </c>
      <c r="BI177" s="51">
        <f t="shared" si="100"/>
        <v>0</v>
      </c>
      <c r="BJ177" s="51">
        <f t="shared" si="101"/>
        <v>0</v>
      </c>
      <c r="BK177" s="53" t="s">
        <v>118</v>
      </c>
      <c r="BL177" s="51">
        <v>766</v>
      </c>
      <c r="BW177" s="51">
        <v>12</v>
      </c>
      <c r="BX177" s="3" t="s">
        <v>517</v>
      </c>
    </row>
    <row r="178" spans="1:76" ht="25.5">
      <c r="A178" s="1" t="s">
        <v>518</v>
      </c>
      <c r="B178" s="2" t="s">
        <v>519</v>
      </c>
      <c r="C178" s="75" t="s">
        <v>520</v>
      </c>
      <c r="D178" s="70"/>
      <c r="E178" s="2" t="s">
        <v>114</v>
      </c>
      <c r="F178" s="51">
        <v>2</v>
      </c>
      <c r="G178" s="52">
        <v>0</v>
      </c>
      <c r="H178" s="51">
        <f t="shared" si="80"/>
        <v>0</v>
      </c>
      <c r="J178" s="41"/>
      <c r="Z178" s="51">
        <f t="shared" si="81"/>
        <v>0</v>
      </c>
      <c r="AB178" s="51">
        <f t="shared" si="82"/>
        <v>0</v>
      </c>
      <c r="AC178" s="51">
        <f t="shared" si="83"/>
        <v>0</v>
      </c>
      <c r="AD178" s="51">
        <f t="shared" si="84"/>
        <v>0</v>
      </c>
      <c r="AE178" s="51">
        <f t="shared" si="85"/>
        <v>0</v>
      </c>
      <c r="AF178" s="51">
        <f t="shared" si="86"/>
        <v>0</v>
      </c>
      <c r="AG178" s="51">
        <f t="shared" si="87"/>
        <v>0</v>
      </c>
      <c r="AH178" s="51">
        <f t="shared" si="88"/>
        <v>0</v>
      </c>
      <c r="AI178" s="35" t="s">
        <v>4</v>
      </c>
      <c r="AJ178" s="51">
        <f t="shared" si="89"/>
        <v>0</v>
      </c>
      <c r="AK178" s="51">
        <f t="shared" si="90"/>
        <v>0</v>
      </c>
      <c r="AL178" s="51">
        <f t="shared" si="91"/>
        <v>0</v>
      </c>
      <c r="AN178" s="51">
        <v>12</v>
      </c>
      <c r="AO178" s="51">
        <f>G178*1</f>
        <v>0</v>
      </c>
      <c r="AP178" s="51">
        <f>G178*(1-1)</f>
        <v>0</v>
      </c>
      <c r="AQ178" s="53" t="s">
        <v>148</v>
      </c>
      <c r="AV178" s="51">
        <f t="shared" si="94"/>
        <v>0</v>
      </c>
      <c r="AW178" s="51">
        <f t="shared" si="95"/>
        <v>0</v>
      </c>
      <c r="AX178" s="51">
        <f t="shared" si="96"/>
        <v>0</v>
      </c>
      <c r="AY178" s="53" t="s">
        <v>490</v>
      </c>
      <c r="AZ178" s="53" t="s">
        <v>491</v>
      </c>
      <c r="BA178" s="35" t="s">
        <v>117</v>
      </c>
      <c r="BC178" s="51">
        <f t="shared" si="97"/>
        <v>0</v>
      </c>
      <c r="BD178" s="51">
        <f t="shared" si="98"/>
        <v>0</v>
      </c>
      <c r="BE178" s="51">
        <v>0</v>
      </c>
      <c r="BF178" s="51">
        <f>178</f>
        <v>178</v>
      </c>
      <c r="BH178" s="51">
        <f t="shared" si="99"/>
        <v>0</v>
      </c>
      <c r="BI178" s="51">
        <f t="shared" si="100"/>
        <v>0</v>
      </c>
      <c r="BJ178" s="51">
        <f t="shared" si="101"/>
        <v>0</v>
      </c>
      <c r="BK178" s="53" t="s">
        <v>256</v>
      </c>
      <c r="BL178" s="51">
        <v>766</v>
      </c>
      <c r="BW178" s="51">
        <v>12</v>
      </c>
      <c r="BX178" s="3" t="s">
        <v>520</v>
      </c>
    </row>
    <row r="179" spans="1:76" ht="25.5">
      <c r="A179" s="1" t="s">
        <v>521</v>
      </c>
      <c r="B179" s="2" t="s">
        <v>522</v>
      </c>
      <c r="C179" s="75" t="s">
        <v>523</v>
      </c>
      <c r="D179" s="70"/>
      <c r="E179" s="2" t="s">
        <v>114</v>
      </c>
      <c r="F179" s="51">
        <v>1</v>
      </c>
      <c r="G179" s="52">
        <v>0</v>
      </c>
      <c r="H179" s="51">
        <f t="shared" si="80"/>
        <v>0</v>
      </c>
      <c r="J179" s="41"/>
      <c r="Z179" s="51">
        <f t="shared" si="81"/>
        <v>0</v>
      </c>
      <c r="AB179" s="51">
        <f t="shared" si="82"/>
        <v>0</v>
      </c>
      <c r="AC179" s="51">
        <f t="shared" si="83"/>
        <v>0</v>
      </c>
      <c r="AD179" s="51">
        <f t="shared" si="84"/>
        <v>0</v>
      </c>
      <c r="AE179" s="51">
        <f t="shared" si="85"/>
        <v>0</v>
      </c>
      <c r="AF179" s="51">
        <f t="shared" si="86"/>
        <v>0</v>
      </c>
      <c r="AG179" s="51">
        <f t="shared" si="87"/>
        <v>0</v>
      </c>
      <c r="AH179" s="51">
        <f t="shared" si="88"/>
        <v>0</v>
      </c>
      <c r="AI179" s="35" t="s">
        <v>4</v>
      </c>
      <c r="AJ179" s="51">
        <f t="shared" si="89"/>
        <v>0</v>
      </c>
      <c r="AK179" s="51">
        <f t="shared" si="90"/>
        <v>0</v>
      </c>
      <c r="AL179" s="51">
        <f t="shared" si="91"/>
        <v>0</v>
      </c>
      <c r="AN179" s="51">
        <v>12</v>
      </c>
      <c r="AO179" s="51">
        <f>G179*1</f>
        <v>0</v>
      </c>
      <c r="AP179" s="51">
        <f>G179*(1-1)</f>
        <v>0</v>
      </c>
      <c r="AQ179" s="53" t="s">
        <v>148</v>
      </c>
      <c r="AV179" s="51">
        <f t="shared" si="94"/>
        <v>0</v>
      </c>
      <c r="AW179" s="51">
        <f t="shared" si="95"/>
        <v>0</v>
      </c>
      <c r="AX179" s="51">
        <f t="shared" si="96"/>
        <v>0</v>
      </c>
      <c r="AY179" s="53" t="s">
        <v>490</v>
      </c>
      <c r="AZ179" s="53" t="s">
        <v>491</v>
      </c>
      <c r="BA179" s="35" t="s">
        <v>117</v>
      </c>
      <c r="BC179" s="51">
        <f t="shared" si="97"/>
        <v>0</v>
      </c>
      <c r="BD179" s="51">
        <f t="shared" si="98"/>
        <v>0</v>
      </c>
      <c r="BE179" s="51">
        <v>0</v>
      </c>
      <c r="BF179" s="51">
        <f>179</f>
        <v>179</v>
      </c>
      <c r="BH179" s="51">
        <f t="shared" si="99"/>
        <v>0</v>
      </c>
      <c r="BI179" s="51">
        <f t="shared" si="100"/>
        <v>0</v>
      </c>
      <c r="BJ179" s="51">
        <f t="shared" si="101"/>
        <v>0</v>
      </c>
      <c r="BK179" s="53" t="s">
        <v>256</v>
      </c>
      <c r="BL179" s="51">
        <v>766</v>
      </c>
      <c r="BW179" s="51">
        <v>12</v>
      </c>
      <c r="BX179" s="3" t="s">
        <v>523</v>
      </c>
    </row>
    <row r="180" spans="1:76" ht="25.5">
      <c r="A180" s="1" t="s">
        <v>309</v>
      </c>
      <c r="B180" s="2" t="s">
        <v>522</v>
      </c>
      <c r="C180" s="75" t="s">
        <v>524</v>
      </c>
      <c r="D180" s="70"/>
      <c r="E180" s="2" t="s">
        <v>114</v>
      </c>
      <c r="F180" s="51">
        <v>1</v>
      </c>
      <c r="G180" s="52">
        <v>0</v>
      </c>
      <c r="H180" s="51">
        <f t="shared" si="80"/>
        <v>0</v>
      </c>
      <c r="J180" s="41"/>
      <c r="Z180" s="51">
        <f t="shared" si="81"/>
        <v>0</v>
      </c>
      <c r="AB180" s="51">
        <f t="shared" si="82"/>
        <v>0</v>
      </c>
      <c r="AC180" s="51">
        <f t="shared" si="83"/>
        <v>0</v>
      </c>
      <c r="AD180" s="51">
        <f t="shared" si="84"/>
        <v>0</v>
      </c>
      <c r="AE180" s="51">
        <f t="shared" si="85"/>
        <v>0</v>
      </c>
      <c r="AF180" s="51">
        <f t="shared" si="86"/>
        <v>0</v>
      </c>
      <c r="AG180" s="51">
        <f t="shared" si="87"/>
        <v>0</v>
      </c>
      <c r="AH180" s="51">
        <f t="shared" si="88"/>
        <v>0</v>
      </c>
      <c r="AI180" s="35" t="s">
        <v>4</v>
      </c>
      <c r="AJ180" s="51">
        <f t="shared" si="89"/>
        <v>0</v>
      </c>
      <c r="AK180" s="51">
        <f t="shared" si="90"/>
        <v>0</v>
      </c>
      <c r="AL180" s="51">
        <f t="shared" si="91"/>
        <v>0</v>
      </c>
      <c r="AN180" s="51">
        <v>12</v>
      </c>
      <c r="AO180" s="51">
        <f>G180*1</f>
        <v>0</v>
      </c>
      <c r="AP180" s="51">
        <f>G180*(1-1)</f>
        <v>0</v>
      </c>
      <c r="AQ180" s="53" t="s">
        <v>148</v>
      </c>
      <c r="AV180" s="51">
        <f t="shared" si="94"/>
        <v>0</v>
      </c>
      <c r="AW180" s="51">
        <f t="shared" si="95"/>
        <v>0</v>
      </c>
      <c r="AX180" s="51">
        <f t="shared" si="96"/>
        <v>0</v>
      </c>
      <c r="AY180" s="53" t="s">
        <v>490</v>
      </c>
      <c r="AZ180" s="53" t="s">
        <v>491</v>
      </c>
      <c r="BA180" s="35" t="s">
        <v>117</v>
      </c>
      <c r="BC180" s="51">
        <f t="shared" si="97"/>
        <v>0</v>
      </c>
      <c r="BD180" s="51">
        <f t="shared" si="98"/>
        <v>0</v>
      </c>
      <c r="BE180" s="51">
        <v>0</v>
      </c>
      <c r="BF180" s="51">
        <f>180</f>
        <v>180</v>
      </c>
      <c r="BH180" s="51">
        <f t="shared" si="99"/>
        <v>0</v>
      </c>
      <c r="BI180" s="51">
        <f t="shared" si="100"/>
        <v>0</v>
      </c>
      <c r="BJ180" s="51">
        <f t="shared" si="101"/>
        <v>0</v>
      </c>
      <c r="BK180" s="53" t="s">
        <v>256</v>
      </c>
      <c r="BL180" s="51">
        <v>766</v>
      </c>
      <c r="BW180" s="51">
        <v>12</v>
      </c>
      <c r="BX180" s="3" t="s">
        <v>524</v>
      </c>
    </row>
    <row r="181" spans="1:76" ht="25.5">
      <c r="A181" s="1" t="s">
        <v>525</v>
      </c>
      <c r="B181" s="2" t="s">
        <v>526</v>
      </c>
      <c r="C181" s="75" t="s">
        <v>527</v>
      </c>
      <c r="D181" s="70"/>
      <c r="E181" s="2" t="s">
        <v>114</v>
      </c>
      <c r="F181" s="51">
        <v>1</v>
      </c>
      <c r="G181" s="52">
        <v>0</v>
      </c>
      <c r="H181" s="51">
        <f t="shared" si="80"/>
        <v>0</v>
      </c>
      <c r="J181" s="41"/>
      <c r="Z181" s="51">
        <f t="shared" si="81"/>
        <v>0</v>
      </c>
      <c r="AB181" s="51">
        <f t="shared" si="82"/>
        <v>0</v>
      </c>
      <c r="AC181" s="51">
        <f t="shared" si="83"/>
        <v>0</v>
      </c>
      <c r="AD181" s="51">
        <f t="shared" si="84"/>
        <v>0</v>
      </c>
      <c r="AE181" s="51">
        <f t="shared" si="85"/>
        <v>0</v>
      </c>
      <c r="AF181" s="51">
        <f t="shared" si="86"/>
        <v>0</v>
      </c>
      <c r="AG181" s="51">
        <f t="shared" si="87"/>
        <v>0</v>
      </c>
      <c r="AH181" s="51">
        <f t="shared" si="88"/>
        <v>0</v>
      </c>
      <c r="AI181" s="35" t="s">
        <v>4</v>
      </c>
      <c r="AJ181" s="51">
        <f t="shared" si="89"/>
        <v>0</v>
      </c>
      <c r="AK181" s="51">
        <f t="shared" si="90"/>
        <v>0</v>
      </c>
      <c r="AL181" s="51">
        <f t="shared" si="91"/>
        <v>0</v>
      </c>
      <c r="AN181" s="51">
        <v>12</v>
      </c>
      <c r="AO181" s="51">
        <f>G181*1</f>
        <v>0</v>
      </c>
      <c r="AP181" s="51">
        <f>G181*(1-1)</f>
        <v>0</v>
      </c>
      <c r="AQ181" s="53" t="s">
        <v>148</v>
      </c>
      <c r="AV181" s="51">
        <f t="shared" si="94"/>
        <v>0</v>
      </c>
      <c r="AW181" s="51">
        <f t="shared" si="95"/>
        <v>0</v>
      </c>
      <c r="AX181" s="51">
        <f t="shared" si="96"/>
        <v>0</v>
      </c>
      <c r="AY181" s="53" t="s">
        <v>490</v>
      </c>
      <c r="AZ181" s="53" t="s">
        <v>491</v>
      </c>
      <c r="BA181" s="35" t="s">
        <v>117</v>
      </c>
      <c r="BC181" s="51">
        <f t="shared" si="97"/>
        <v>0</v>
      </c>
      <c r="BD181" s="51">
        <f t="shared" si="98"/>
        <v>0</v>
      </c>
      <c r="BE181" s="51">
        <v>0</v>
      </c>
      <c r="BF181" s="51">
        <f>181</f>
        <v>181</v>
      </c>
      <c r="BH181" s="51">
        <f t="shared" si="99"/>
        <v>0</v>
      </c>
      <c r="BI181" s="51">
        <f t="shared" si="100"/>
        <v>0</v>
      </c>
      <c r="BJ181" s="51">
        <f t="shared" si="101"/>
        <v>0</v>
      </c>
      <c r="BK181" s="53" t="s">
        <v>256</v>
      </c>
      <c r="BL181" s="51">
        <v>766</v>
      </c>
      <c r="BW181" s="51">
        <v>12</v>
      </c>
      <c r="BX181" s="3" t="s">
        <v>527</v>
      </c>
    </row>
    <row r="182" spans="1:76">
      <c r="A182" s="1" t="s">
        <v>528</v>
      </c>
      <c r="B182" s="2" t="s">
        <v>529</v>
      </c>
      <c r="C182" s="75" t="s">
        <v>530</v>
      </c>
      <c r="D182" s="70"/>
      <c r="E182" s="2" t="s">
        <v>281</v>
      </c>
      <c r="F182" s="51">
        <v>0.20100000000000001</v>
      </c>
      <c r="G182" s="52">
        <v>0</v>
      </c>
      <c r="H182" s="51">
        <f t="shared" si="80"/>
        <v>0</v>
      </c>
      <c r="J182" s="41"/>
      <c r="Z182" s="51">
        <f t="shared" si="81"/>
        <v>0</v>
      </c>
      <c r="AB182" s="51">
        <f t="shared" si="82"/>
        <v>0</v>
      </c>
      <c r="AC182" s="51">
        <f t="shared" si="83"/>
        <v>0</v>
      </c>
      <c r="AD182" s="51">
        <f t="shared" si="84"/>
        <v>0</v>
      </c>
      <c r="AE182" s="51">
        <f t="shared" si="85"/>
        <v>0</v>
      </c>
      <c r="AF182" s="51">
        <f t="shared" si="86"/>
        <v>0</v>
      </c>
      <c r="AG182" s="51">
        <f t="shared" si="87"/>
        <v>0</v>
      </c>
      <c r="AH182" s="51">
        <f t="shared" si="88"/>
        <v>0</v>
      </c>
      <c r="AI182" s="35" t="s">
        <v>4</v>
      </c>
      <c r="AJ182" s="51">
        <f t="shared" si="89"/>
        <v>0</v>
      </c>
      <c r="AK182" s="51">
        <f t="shared" si="90"/>
        <v>0</v>
      </c>
      <c r="AL182" s="51">
        <f t="shared" si="91"/>
        <v>0</v>
      </c>
      <c r="AN182" s="51">
        <v>12</v>
      </c>
      <c r="AO182" s="51">
        <f>G182*0</f>
        <v>0</v>
      </c>
      <c r="AP182" s="51">
        <f>G182*(1-0)</f>
        <v>0</v>
      </c>
      <c r="AQ182" s="53" t="s">
        <v>137</v>
      </c>
      <c r="AV182" s="51">
        <f t="shared" si="94"/>
        <v>0</v>
      </c>
      <c r="AW182" s="51">
        <f t="shared" si="95"/>
        <v>0</v>
      </c>
      <c r="AX182" s="51">
        <f t="shared" si="96"/>
        <v>0</v>
      </c>
      <c r="AY182" s="53" t="s">
        <v>490</v>
      </c>
      <c r="AZ182" s="53" t="s">
        <v>491</v>
      </c>
      <c r="BA182" s="35" t="s">
        <v>117</v>
      </c>
      <c r="BC182" s="51">
        <f t="shared" si="97"/>
        <v>0</v>
      </c>
      <c r="BD182" s="51">
        <f t="shared" si="98"/>
        <v>0</v>
      </c>
      <c r="BE182" s="51">
        <v>0</v>
      </c>
      <c r="BF182" s="51">
        <f>182</f>
        <v>182</v>
      </c>
      <c r="BH182" s="51">
        <f t="shared" si="99"/>
        <v>0</v>
      </c>
      <c r="BI182" s="51">
        <f t="shared" si="100"/>
        <v>0</v>
      </c>
      <c r="BJ182" s="51">
        <f t="shared" si="101"/>
        <v>0</v>
      </c>
      <c r="BK182" s="53" t="s">
        <v>118</v>
      </c>
      <c r="BL182" s="51">
        <v>766</v>
      </c>
      <c r="BW182" s="51">
        <v>12</v>
      </c>
      <c r="BX182" s="3" t="s">
        <v>530</v>
      </c>
    </row>
    <row r="183" spans="1:76">
      <c r="A183" s="47" t="s">
        <v>4</v>
      </c>
      <c r="B183" s="48" t="s">
        <v>531</v>
      </c>
      <c r="C183" s="150" t="s">
        <v>532</v>
      </c>
      <c r="D183" s="151"/>
      <c r="E183" s="49" t="s">
        <v>79</v>
      </c>
      <c r="F183" s="49" t="s">
        <v>79</v>
      </c>
      <c r="G183" s="50" t="s">
        <v>79</v>
      </c>
      <c r="H183" s="28">
        <f>SUM(H184:H195)</f>
        <v>0</v>
      </c>
      <c r="J183" s="41"/>
      <c r="AI183" s="35" t="s">
        <v>4</v>
      </c>
      <c r="AS183" s="28">
        <f>SUM(AJ184:AJ195)</f>
        <v>0</v>
      </c>
      <c r="AT183" s="28">
        <f>SUM(AK184:AK195)</f>
        <v>0</v>
      </c>
      <c r="AU183" s="28">
        <f>SUM(AL184:AL195)</f>
        <v>0</v>
      </c>
    </row>
    <row r="184" spans="1:76">
      <c r="A184" s="1" t="s">
        <v>533</v>
      </c>
      <c r="B184" s="2" t="s">
        <v>534</v>
      </c>
      <c r="C184" s="75" t="s">
        <v>535</v>
      </c>
      <c r="D184" s="70"/>
      <c r="E184" s="2" t="s">
        <v>124</v>
      </c>
      <c r="F184" s="51">
        <v>3.67</v>
      </c>
      <c r="G184" s="52">
        <v>0</v>
      </c>
      <c r="H184" s="51">
        <f>ROUND(F184*G184,2)</f>
        <v>0</v>
      </c>
      <c r="J184" s="41"/>
      <c r="Z184" s="51">
        <f>ROUND(IF(AQ184="5",BJ184,0),2)</f>
        <v>0</v>
      </c>
      <c r="AB184" s="51">
        <f>ROUND(IF(AQ184="1",BH184,0),2)</f>
        <v>0</v>
      </c>
      <c r="AC184" s="51">
        <f>ROUND(IF(AQ184="1",BI184,0),2)</f>
        <v>0</v>
      </c>
      <c r="AD184" s="51">
        <f>ROUND(IF(AQ184="7",BH184,0),2)</f>
        <v>0</v>
      </c>
      <c r="AE184" s="51">
        <f>ROUND(IF(AQ184="7",BI184,0),2)</f>
        <v>0</v>
      </c>
      <c r="AF184" s="51">
        <f>ROUND(IF(AQ184="2",BH184,0),2)</f>
        <v>0</v>
      </c>
      <c r="AG184" s="51">
        <f>ROUND(IF(AQ184="2",BI184,0),2)</f>
        <v>0</v>
      </c>
      <c r="AH184" s="51">
        <f>ROUND(IF(AQ184="0",BJ184,0),2)</f>
        <v>0</v>
      </c>
      <c r="AI184" s="35" t="s">
        <v>4</v>
      </c>
      <c r="AJ184" s="51">
        <f>IF(AN184=0,H184,0)</f>
        <v>0</v>
      </c>
      <c r="AK184" s="51">
        <f>IF(AN184=12,H184,0)</f>
        <v>0</v>
      </c>
      <c r="AL184" s="51">
        <f>IF(AN184=21,H184,0)</f>
        <v>0</v>
      </c>
      <c r="AN184" s="51">
        <v>12</v>
      </c>
      <c r="AO184" s="51">
        <f>G184*0.422515013</f>
        <v>0</v>
      </c>
      <c r="AP184" s="51">
        <f>G184*(1-0.422515013)</f>
        <v>0</v>
      </c>
      <c r="AQ184" s="53" t="s">
        <v>148</v>
      </c>
      <c r="AV184" s="51">
        <f>ROUND(AW184+AX184,2)</f>
        <v>0</v>
      </c>
      <c r="AW184" s="51">
        <f>ROUND(F184*AO184,2)</f>
        <v>0</v>
      </c>
      <c r="AX184" s="51">
        <f>ROUND(F184*AP184,2)</f>
        <v>0</v>
      </c>
      <c r="AY184" s="53" t="s">
        <v>536</v>
      </c>
      <c r="AZ184" s="53" t="s">
        <v>537</v>
      </c>
      <c r="BA184" s="35" t="s">
        <v>117</v>
      </c>
      <c r="BC184" s="51">
        <f>AW184+AX184</f>
        <v>0</v>
      </c>
      <c r="BD184" s="51">
        <f>G184/(100-BE184)*100</f>
        <v>0</v>
      </c>
      <c r="BE184" s="51">
        <v>0</v>
      </c>
      <c r="BF184" s="51">
        <f>184</f>
        <v>184</v>
      </c>
      <c r="BH184" s="51">
        <f>F184*AO184</f>
        <v>0</v>
      </c>
      <c r="BI184" s="51">
        <f>F184*AP184</f>
        <v>0</v>
      </c>
      <c r="BJ184" s="51">
        <f>F184*G184</f>
        <v>0</v>
      </c>
      <c r="BK184" s="53" t="s">
        <v>118</v>
      </c>
      <c r="BL184" s="51">
        <v>771</v>
      </c>
      <c r="BW184" s="51">
        <v>12</v>
      </c>
      <c r="BX184" s="3" t="s">
        <v>535</v>
      </c>
    </row>
    <row r="185" spans="1:76">
      <c r="A185" s="1" t="s">
        <v>538</v>
      </c>
      <c r="B185" s="2" t="s">
        <v>539</v>
      </c>
      <c r="C185" s="75" t="s">
        <v>540</v>
      </c>
      <c r="D185" s="70"/>
      <c r="E185" s="2" t="s">
        <v>124</v>
      </c>
      <c r="F185" s="51">
        <v>3.67</v>
      </c>
      <c r="G185" s="52">
        <v>0</v>
      </c>
      <c r="H185" s="51">
        <f>ROUND(F185*G185,2)</f>
        <v>0</v>
      </c>
      <c r="J185" s="41"/>
      <c r="Z185" s="51">
        <f>ROUND(IF(AQ185="5",BJ185,0),2)</f>
        <v>0</v>
      </c>
      <c r="AB185" s="51">
        <f>ROUND(IF(AQ185="1",BH185,0),2)</f>
        <v>0</v>
      </c>
      <c r="AC185" s="51">
        <f>ROUND(IF(AQ185="1",BI185,0),2)</f>
        <v>0</v>
      </c>
      <c r="AD185" s="51">
        <f>ROUND(IF(AQ185="7",BH185,0),2)</f>
        <v>0</v>
      </c>
      <c r="AE185" s="51">
        <f>ROUND(IF(AQ185="7",BI185,0),2)</f>
        <v>0</v>
      </c>
      <c r="AF185" s="51">
        <f>ROUND(IF(AQ185="2",BH185,0),2)</f>
        <v>0</v>
      </c>
      <c r="AG185" s="51">
        <f>ROUND(IF(AQ185="2",BI185,0),2)</f>
        <v>0</v>
      </c>
      <c r="AH185" s="51">
        <f>ROUND(IF(AQ185="0",BJ185,0),2)</f>
        <v>0</v>
      </c>
      <c r="AI185" s="35" t="s">
        <v>4</v>
      </c>
      <c r="AJ185" s="51">
        <f>IF(AN185=0,H185,0)</f>
        <v>0</v>
      </c>
      <c r="AK185" s="51">
        <f>IF(AN185=12,H185,0)</f>
        <v>0</v>
      </c>
      <c r="AL185" s="51">
        <f>IF(AN185=21,H185,0)</f>
        <v>0</v>
      </c>
      <c r="AN185" s="51">
        <v>12</v>
      </c>
      <c r="AO185" s="51">
        <f>G185*0.20543643</f>
        <v>0</v>
      </c>
      <c r="AP185" s="51">
        <f>G185*(1-0.20543643)</f>
        <v>0</v>
      </c>
      <c r="AQ185" s="53" t="s">
        <v>148</v>
      </c>
      <c r="AV185" s="51">
        <f>ROUND(AW185+AX185,2)</f>
        <v>0</v>
      </c>
      <c r="AW185" s="51">
        <f>ROUND(F185*AO185,2)</f>
        <v>0</v>
      </c>
      <c r="AX185" s="51">
        <f>ROUND(F185*AP185,2)</f>
        <v>0</v>
      </c>
      <c r="AY185" s="53" t="s">
        <v>536</v>
      </c>
      <c r="AZ185" s="53" t="s">
        <v>537</v>
      </c>
      <c r="BA185" s="35" t="s">
        <v>117</v>
      </c>
      <c r="BC185" s="51">
        <f>AW185+AX185</f>
        <v>0</v>
      </c>
      <c r="BD185" s="51">
        <f>G185/(100-BE185)*100</f>
        <v>0</v>
      </c>
      <c r="BE185" s="51">
        <v>0</v>
      </c>
      <c r="BF185" s="51">
        <f>185</f>
        <v>185</v>
      </c>
      <c r="BH185" s="51">
        <f>F185*AO185</f>
        <v>0</v>
      </c>
      <c r="BI185" s="51">
        <f>F185*AP185</f>
        <v>0</v>
      </c>
      <c r="BJ185" s="51">
        <f>F185*G185</f>
        <v>0</v>
      </c>
      <c r="BK185" s="53" t="s">
        <v>118</v>
      </c>
      <c r="BL185" s="51">
        <v>771</v>
      </c>
      <c r="BW185" s="51">
        <v>12</v>
      </c>
      <c r="BX185" s="3" t="s">
        <v>540</v>
      </c>
    </row>
    <row r="186" spans="1:76">
      <c r="A186" s="54"/>
      <c r="C186" s="56" t="s">
        <v>541</v>
      </c>
      <c r="D186" s="57" t="s">
        <v>172</v>
      </c>
      <c r="F186" s="58">
        <v>2.56</v>
      </c>
      <c r="J186" s="41"/>
    </row>
    <row r="187" spans="1:76">
      <c r="A187" s="54"/>
      <c r="C187" s="56" t="s">
        <v>542</v>
      </c>
      <c r="D187" s="57" t="s">
        <v>170</v>
      </c>
      <c r="F187" s="58">
        <v>1.1100000000000001</v>
      </c>
      <c r="J187" s="41"/>
    </row>
    <row r="188" spans="1:76">
      <c r="A188" s="1" t="s">
        <v>543</v>
      </c>
      <c r="B188" s="2" t="s">
        <v>544</v>
      </c>
      <c r="C188" s="75" t="s">
        <v>545</v>
      </c>
      <c r="D188" s="70"/>
      <c r="E188" s="2" t="s">
        <v>140</v>
      </c>
      <c r="F188" s="51">
        <v>14.7</v>
      </c>
      <c r="G188" s="52">
        <v>0</v>
      </c>
      <c r="H188" s="51">
        <f>ROUND(F188*G188,2)</f>
        <v>0</v>
      </c>
      <c r="J188" s="41"/>
      <c r="Z188" s="51">
        <f>ROUND(IF(AQ188="5",BJ188,0),2)</f>
        <v>0</v>
      </c>
      <c r="AB188" s="51">
        <f>ROUND(IF(AQ188="1",BH188,0),2)</f>
        <v>0</v>
      </c>
      <c r="AC188" s="51">
        <f>ROUND(IF(AQ188="1",BI188,0),2)</f>
        <v>0</v>
      </c>
      <c r="AD188" s="51">
        <f>ROUND(IF(AQ188="7",BH188,0),2)</f>
        <v>0</v>
      </c>
      <c r="AE188" s="51">
        <f>ROUND(IF(AQ188="7",BI188,0),2)</f>
        <v>0</v>
      </c>
      <c r="AF188" s="51">
        <f>ROUND(IF(AQ188="2",BH188,0),2)</f>
        <v>0</v>
      </c>
      <c r="AG188" s="51">
        <f>ROUND(IF(AQ188="2",BI188,0),2)</f>
        <v>0</v>
      </c>
      <c r="AH188" s="51">
        <f>ROUND(IF(AQ188="0",BJ188,0),2)</f>
        <v>0</v>
      </c>
      <c r="AI188" s="35" t="s">
        <v>4</v>
      </c>
      <c r="AJ188" s="51">
        <f>IF(AN188=0,H188,0)</f>
        <v>0</v>
      </c>
      <c r="AK188" s="51">
        <f>IF(AN188=12,H188,0)</f>
        <v>0</v>
      </c>
      <c r="AL188" s="51">
        <f>IF(AN188=21,H188,0)</f>
        <v>0</v>
      </c>
      <c r="AN188" s="51">
        <v>12</v>
      </c>
      <c r="AO188" s="51">
        <f>G188*0.445199536</f>
        <v>0</v>
      </c>
      <c r="AP188" s="51">
        <f>G188*(1-0.445199536)</f>
        <v>0</v>
      </c>
      <c r="AQ188" s="53" t="s">
        <v>148</v>
      </c>
      <c r="AV188" s="51">
        <f>ROUND(AW188+AX188,2)</f>
        <v>0</v>
      </c>
      <c r="AW188" s="51">
        <f>ROUND(F188*AO188,2)</f>
        <v>0</v>
      </c>
      <c r="AX188" s="51">
        <f>ROUND(F188*AP188,2)</f>
        <v>0</v>
      </c>
      <c r="AY188" s="53" t="s">
        <v>536</v>
      </c>
      <c r="AZ188" s="53" t="s">
        <v>537</v>
      </c>
      <c r="BA188" s="35" t="s">
        <v>117</v>
      </c>
      <c r="BC188" s="51">
        <f>AW188+AX188</f>
        <v>0</v>
      </c>
      <c r="BD188" s="51">
        <f>G188/(100-BE188)*100</f>
        <v>0</v>
      </c>
      <c r="BE188" s="51">
        <v>0</v>
      </c>
      <c r="BF188" s="51">
        <f>188</f>
        <v>188</v>
      </c>
      <c r="BH188" s="51">
        <f>F188*AO188</f>
        <v>0</v>
      </c>
      <c r="BI188" s="51">
        <f>F188*AP188</f>
        <v>0</v>
      </c>
      <c r="BJ188" s="51">
        <f>F188*G188</f>
        <v>0</v>
      </c>
      <c r="BK188" s="53" t="s">
        <v>118</v>
      </c>
      <c r="BL188" s="51">
        <v>771</v>
      </c>
      <c r="BW188" s="51">
        <v>12</v>
      </c>
      <c r="BX188" s="3" t="s">
        <v>545</v>
      </c>
    </row>
    <row r="189" spans="1:76">
      <c r="A189" s="54"/>
      <c r="C189" s="56" t="s">
        <v>336</v>
      </c>
      <c r="D189" s="57" t="s">
        <v>546</v>
      </c>
      <c r="F189" s="58">
        <v>5.7</v>
      </c>
      <c r="J189" s="41"/>
    </row>
    <row r="190" spans="1:76">
      <c r="A190" s="54"/>
      <c r="C190" s="56" t="s">
        <v>547</v>
      </c>
      <c r="D190" s="57" t="s">
        <v>548</v>
      </c>
      <c r="F190" s="58">
        <v>8.4</v>
      </c>
      <c r="J190" s="41"/>
    </row>
    <row r="191" spans="1:76">
      <c r="A191" s="54"/>
      <c r="C191" s="56" t="s">
        <v>549</v>
      </c>
      <c r="D191" s="57" t="s">
        <v>550</v>
      </c>
      <c r="F191" s="58">
        <v>0.6</v>
      </c>
      <c r="J191" s="41"/>
    </row>
    <row r="192" spans="1:76">
      <c r="A192" s="1" t="s">
        <v>551</v>
      </c>
      <c r="B192" s="2" t="s">
        <v>552</v>
      </c>
      <c r="C192" s="75" t="s">
        <v>553</v>
      </c>
      <c r="D192" s="70"/>
      <c r="E192" s="2" t="s">
        <v>124</v>
      </c>
      <c r="F192" s="51">
        <v>3.67</v>
      </c>
      <c r="G192" s="52">
        <v>0</v>
      </c>
      <c r="H192" s="51">
        <f>ROUND(F192*G192,2)</f>
        <v>0</v>
      </c>
      <c r="J192" s="41"/>
      <c r="Z192" s="51">
        <f>ROUND(IF(AQ192="5",BJ192,0),2)</f>
        <v>0</v>
      </c>
      <c r="AB192" s="51">
        <f>ROUND(IF(AQ192="1",BH192,0),2)</f>
        <v>0</v>
      </c>
      <c r="AC192" s="51">
        <f>ROUND(IF(AQ192="1",BI192,0),2)</f>
        <v>0</v>
      </c>
      <c r="AD192" s="51">
        <f>ROUND(IF(AQ192="7",BH192,0),2)</f>
        <v>0</v>
      </c>
      <c r="AE192" s="51">
        <f>ROUND(IF(AQ192="7",BI192,0),2)</f>
        <v>0</v>
      </c>
      <c r="AF192" s="51">
        <f>ROUND(IF(AQ192="2",BH192,0),2)</f>
        <v>0</v>
      </c>
      <c r="AG192" s="51">
        <f>ROUND(IF(AQ192="2",BI192,0),2)</f>
        <v>0</v>
      </c>
      <c r="AH192" s="51">
        <f>ROUND(IF(AQ192="0",BJ192,0),2)</f>
        <v>0</v>
      </c>
      <c r="AI192" s="35" t="s">
        <v>4</v>
      </c>
      <c r="AJ192" s="51">
        <f>IF(AN192=0,H192,0)</f>
        <v>0</v>
      </c>
      <c r="AK192" s="51">
        <f>IF(AN192=12,H192,0)</f>
        <v>0</v>
      </c>
      <c r="AL192" s="51">
        <f>IF(AN192=21,H192,0)</f>
        <v>0</v>
      </c>
      <c r="AN192" s="51">
        <v>12</v>
      </c>
      <c r="AO192" s="51">
        <f>G192*0</f>
        <v>0</v>
      </c>
      <c r="AP192" s="51">
        <f>G192*(1-0)</f>
        <v>0</v>
      </c>
      <c r="AQ192" s="53" t="s">
        <v>148</v>
      </c>
      <c r="AV192" s="51">
        <f>ROUND(AW192+AX192,2)</f>
        <v>0</v>
      </c>
      <c r="AW192" s="51">
        <f>ROUND(F192*AO192,2)</f>
        <v>0</v>
      </c>
      <c r="AX192" s="51">
        <f>ROUND(F192*AP192,2)</f>
        <v>0</v>
      </c>
      <c r="AY192" s="53" t="s">
        <v>536</v>
      </c>
      <c r="AZ192" s="53" t="s">
        <v>537</v>
      </c>
      <c r="BA192" s="35" t="s">
        <v>117</v>
      </c>
      <c r="BC192" s="51">
        <f>AW192+AX192</f>
        <v>0</v>
      </c>
      <c r="BD192" s="51">
        <f>G192/(100-BE192)*100</f>
        <v>0</v>
      </c>
      <c r="BE192" s="51">
        <v>0</v>
      </c>
      <c r="BF192" s="51">
        <f>192</f>
        <v>192</v>
      </c>
      <c r="BH192" s="51">
        <f>F192*AO192</f>
        <v>0</v>
      </c>
      <c r="BI192" s="51">
        <f>F192*AP192</f>
        <v>0</v>
      </c>
      <c r="BJ192" s="51">
        <f>F192*G192</f>
        <v>0</v>
      </c>
      <c r="BK192" s="53" t="s">
        <v>118</v>
      </c>
      <c r="BL192" s="51">
        <v>771</v>
      </c>
      <c r="BW192" s="51">
        <v>12</v>
      </c>
      <c r="BX192" s="3" t="s">
        <v>553</v>
      </c>
    </row>
    <row r="193" spans="1:76">
      <c r="A193" s="1" t="s">
        <v>554</v>
      </c>
      <c r="B193" s="2" t="s">
        <v>555</v>
      </c>
      <c r="C193" s="75" t="s">
        <v>556</v>
      </c>
      <c r="D193" s="70"/>
      <c r="E193" s="2" t="s">
        <v>124</v>
      </c>
      <c r="F193" s="51">
        <v>4.0369999999999999</v>
      </c>
      <c r="G193" s="52">
        <v>0</v>
      </c>
      <c r="H193" s="51">
        <f>ROUND(F193*G193,2)</f>
        <v>0</v>
      </c>
      <c r="J193" s="41"/>
      <c r="Z193" s="51">
        <f>ROUND(IF(AQ193="5",BJ193,0),2)</f>
        <v>0</v>
      </c>
      <c r="AB193" s="51">
        <f>ROUND(IF(AQ193="1",BH193,0),2)</f>
        <v>0</v>
      </c>
      <c r="AC193" s="51">
        <f>ROUND(IF(AQ193="1",BI193,0),2)</f>
        <v>0</v>
      </c>
      <c r="AD193" s="51">
        <f>ROUND(IF(AQ193="7",BH193,0),2)</f>
        <v>0</v>
      </c>
      <c r="AE193" s="51">
        <f>ROUND(IF(AQ193="7",BI193,0),2)</f>
        <v>0</v>
      </c>
      <c r="AF193" s="51">
        <f>ROUND(IF(AQ193="2",BH193,0),2)</f>
        <v>0</v>
      </c>
      <c r="AG193" s="51">
        <f>ROUND(IF(AQ193="2",BI193,0),2)</f>
        <v>0</v>
      </c>
      <c r="AH193" s="51">
        <f>ROUND(IF(AQ193="0",BJ193,0),2)</f>
        <v>0</v>
      </c>
      <c r="AI193" s="35" t="s">
        <v>4</v>
      </c>
      <c r="AJ193" s="51">
        <f>IF(AN193=0,H193,0)</f>
        <v>0</v>
      </c>
      <c r="AK193" s="51">
        <f>IF(AN193=12,H193,0)</f>
        <v>0</v>
      </c>
      <c r="AL193" s="51">
        <f>IF(AN193=21,H193,0)</f>
        <v>0</v>
      </c>
      <c r="AN193" s="51">
        <v>12</v>
      </c>
      <c r="AO193" s="51">
        <f>G193*1</f>
        <v>0</v>
      </c>
      <c r="AP193" s="51">
        <f>G193*(1-1)</f>
        <v>0</v>
      </c>
      <c r="AQ193" s="53" t="s">
        <v>148</v>
      </c>
      <c r="AV193" s="51">
        <f>ROUND(AW193+AX193,2)</f>
        <v>0</v>
      </c>
      <c r="AW193" s="51">
        <f>ROUND(F193*AO193,2)</f>
        <v>0</v>
      </c>
      <c r="AX193" s="51">
        <f>ROUND(F193*AP193,2)</f>
        <v>0</v>
      </c>
      <c r="AY193" s="53" t="s">
        <v>536</v>
      </c>
      <c r="AZ193" s="53" t="s">
        <v>537</v>
      </c>
      <c r="BA193" s="35" t="s">
        <v>117</v>
      </c>
      <c r="BC193" s="51">
        <f>AW193+AX193</f>
        <v>0</v>
      </c>
      <c r="BD193" s="51">
        <f>G193/(100-BE193)*100</f>
        <v>0</v>
      </c>
      <c r="BE193" s="51">
        <v>0</v>
      </c>
      <c r="BF193" s="51">
        <f>193</f>
        <v>193</v>
      </c>
      <c r="BH193" s="51">
        <f>F193*AO193</f>
        <v>0</v>
      </c>
      <c r="BI193" s="51">
        <f>F193*AP193</f>
        <v>0</v>
      </c>
      <c r="BJ193" s="51">
        <f>F193*G193</f>
        <v>0</v>
      </c>
      <c r="BK193" s="53" t="s">
        <v>256</v>
      </c>
      <c r="BL193" s="51">
        <v>771</v>
      </c>
      <c r="BW193" s="51">
        <v>12</v>
      </c>
      <c r="BX193" s="3" t="s">
        <v>556</v>
      </c>
    </row>
    <row r="194" spans="1:76">
      <c r="A194" s="54"/>
      <c r="C194" s="56" t="s">
        <v>557</v>
      </c>
      <c r="D194" s="57" t="s">
        <v>4</v>
      </c>
      <c r="F194" s="58">
        <v>4.0369999999999999</v>
      </c>
      <c r="J194" s="41"/>
    </row>
    <row r="195" spans="1:76">
      <c r="A195" s="1" t="s">
        <v>558</v>
      </c>
      <c r="B195" s="2" t="s">
        <v>559</v>
      </c>
      <c r="C195" s="75" t="s">
        <v>560</v>
      </c>
      <c r="D195" s="70"/>
      <c r="E195" s="2" t="s">
        <v>281</v>
      </c>
      <c r="F195" s="51">
        <v>9.7000000000000003E-2</v>
      </c>
      <c r="G195" s="52">
        <v>0</v>
      </c>
      <c r="H195" s="51">
        <f>ROUND(F195*G195,2)</f>
        <v>0</v>
      </c>
      <c r="J195" s="41"/>
      <c r="Z195" s="51">
        <f>ROUND(IF(AQ195="5",BJ195,0),2)</f>
        <v>0</v>
      </c>
      <c r="AB195" s="51">
        <f>ROUND(IF(AQ195="1",BH195,0),2)</f>
        <v>0</v>
      </c>
      <c r="AC195" s="51">
        <f>ROUND(IF(AQ195="1",BI195,0),2)</f>
        <v>0</v>
      </c>
      <c r="AD195" s="51">
        <f>ROUND(IF(AQ195="7",BH195,0),2)</f>
        <v>0</v>
      </c>
      <c r="AE195" s="51">
        <f>ROUND(IF(AQ195="7",BI195,0),2)</f>
        <v>0</v>
      </c>
      <c r="AF195" s="51">
        <f>ROUND(IF(AQ195="2",BH195,0),2)</f>
        <v>0</v>
      </c>
      <c r="AG195" s="51">
        <f>ROUND(IF(AQ195="2",BI195,0),2)</f>
        <v>0</v>
      </c>
      <c r="AH195" s="51">
        <f>ROUND(IF(AQ195="0",BJ195,0),2)</f>
        <v>0</v>
      </c>
      <c r="AI195" s="35" t="s">
        <v>4</v>
      </c>
      <c r="AJ195" s="51">
        <f>IF(AN195=0,H195,0)</f>
        <v>0</v>
      </c>
      <c r="AK195" s="51">
        <f>IF(AN195=12,H195,0)</f>
        <v>0</v>
      </c>
      <c r="AL195" s="51">
        <f>IF(AN195=21,H195,0)</f>
        <v>0</v>
      </c>
      <c r="AN195" s="51">
        <v>12</v>
      </c>
      <c r="AO195" s="51">
        <f>G195*0</f>
        <v>0</v>
      </c>
      <c r="AP195" s="51">
        <f>G195*(1-0)</f>
        <v>0</v>
      </c>
      <c r="AQ195" s="53" t="s">
        <v>137</v>
      </c>
      <c r="AV195" s="51">
        <f>ROUND(AW195+AX195,2)</f>
        <v>0</v>
      </c>
      <c r="AW195" s="51">
        <f>ROUND(F195*AO195,2)</f>
        <v>0</v>
      </c>
      <c r="AX195" s="51">
        <f>ROUND(F195*AP195,2)</f>
        <v>0</v>
      </c>
      <c r="AY195" s="53" t="s">
        <v>536</v>
      </c>
      <c r="AZ195" s="53" t="s">
        <v>537</v>
      </c>
      <c r="BA195" s="35" t="s">
        <v>117</v>
      </c>
      <c r="BC195" s="51">
        <f>AW195+AX195</f>
        <v>0</v>
      </c>
      <c r="BD195" s="51">
        <f>G195/(100-BE195)*100</f>
        <v>0</v>
      </c>
      <c r="BE195" s="51">
        <v>0</v>
      </c>
      <c r="BF195" s="51">
        <f>195</f>
        <v>195</v>
      </c>
      <c r="BH195" s="51">
        <f>F195*AO195</f>
        <v>0</v>
      </c>
      <c r="BI195" s="51">
        <f>F195*AP195</f>
        <v>0</v>
      </c>
      <c r="BJ195" s="51">
        <f>F195*G195</f>
        <v>0</v>
      </c>
      <c r="BK195" s="53" t="s">
        <v>118</v>
      </c>
      <c r="BL195" s="51">
        <v>771</v>
      </c>
      <c r="BW195" s="51">
        <v>12</v>
      </c>
      <c r="BX195" s="3" t="s">
        <v>560</v>
      </c>
    </row>
    <row r="196" spans="1:76">
      <c r="A196" s="47" t="s">
        <v>4</v>
      </c>
      <c r="B196" s="48" t="s">
        <v>561</v>
      </c>
      <c r="C196" s="150" t="s">
        <v>562</v>
      </c>
      <c r="D196" s="151"/>
      <c r="E196" s="49" t="s">
        <v>79</v>
      </c>
      <c r="F196" s="49" t="s">
        <v>79</v>
      </c>
      <c r="G196" s="50" t="s">
        <v>79</v>
      </c>
      <c r="H196" s="28">
        <f>SUM(H197:H210)</f>
        <v>0</v>
      </c>
      <c r="J196" s="41"/>
      <c r="AI196" s="35" t="s">
        <v>4</v>
      </c>
      <c r="AS196" s="28">
        <f>SUM(AJ197:AJ210)</f>
        <v>0</v>
      </c>
      <c r="AT196" s="28">
        <f>SUM(AK197:AK210)</f>
        <v>0</v>
      </c>
      <c r="AU196" s="28">
        <f>SUM(AL197:AL210)</f>
        <v>0</v>
      </c>
    </row>
    <row r="197" spans="1:76">
      <c r="A197" s="1" t="s">
        <v>563</v>
      </c>
      <c r="B197" s="2" t="s">
        <v>564</v>
      </c>
      <c r="C197" s="75" t="s">
        <v>565</v>
      </c>
      <c r="D197" s="70"/>
      <c r="E197" s="2" t="s">
        <v>140</v>
      </c>
      <c r="F197" s="51">
        <v>52.61</v>
      </c>
      <c r="G197" s="52">
        <v>0</v>
      </c>
      <c r="H197" s="51">
        <f>ROUND(F197*G197,2)</f>
        <v>0</v>
      </c>
      <c r="J197" s="41"/>
      <c r="Z197" s="51">
        <f>ROUND(IF(AQ197="5",BJ197,0),2)</f>
        <v>0</v>
      </c>
      <c r="AB197" s="51">
        <f>ROUND(IF(AQ197="1",BH197,0),2)</f>
        <v>0</v>
      </c>
      <c r="AC197" s="51">
        <f>ROUND(IF(AQ197="1",BI197,0),2)</f>
        <v>0</v>
      </c>
      <c r="AD197" s="51">
        <f>ROUND(IF(AQ197="7",BH197,0),2)</f>
        <v>0</v>
      </c>
      <c r="AE197" s="51">
        <f>ROUND(IF(AQ197="7",BI197,0),2)</f>
        <v>0</v>
      </c>
      <c r="AF197" s="51">
        <f>ROUND(IF(AQ197="2",BH197,0),2)</f>
        <v>0</v>
      </c>
      <c r="AG197" s="51">
        <f>ROUND(IF(AQ197="2",BI197,0),2)</f>
        <v>0</v>
      </c>
      <c r="AH197" s="51">
        <f>ROUND(IF(AQ197="0",BJ197,0),2)</f>
        <v>0</v>
      </c>
      <c r="AI197" s="35" t="s">
        <v>4</v>
      </c>
      <c r="AJ197" s="51">
        <f>IF(AN197=0,H197,0)</f>
        <v>0</v>
      </c>
      <c r="AK197" s="51">
        <f>IF(AN197=12,H197,0)</f>
        <v>0</v>
      </c>
      <c r="AL197" s="51">
        <f>IF(AN197=21,H197,0)</f>
        <v>0</v>
      </c>
      <c r="AN197" s="51">
        <v>12</v>
      </c>
      <c r="AO197" s="51">
        <f>G197*0</f>
        <v>0</v>
      </c>
      <c r="AP197" s="51">
        <f>G197*(1-0)</f>
        <v>0</v>
      </c>
      <c r="AQ197" s="53" t="s">
        <v>148</v>
      </c>
      <c r="AV197" s="51">
        <f>ROUND(AW197+AX197,2)</f>
        <v>0</v>
      </c>
      <c r="AW197" s="51">
        <f>ROUND(F197*AO197,2)</f>
        <v>0</v>
      </c>
      <c r="AX197" s="51">
        <f>ROUND(F197*AP197,2)</f>
        <v>0</v>
      </c>
      <c r="AY197" s="53" t="s">
        <v>566</v>
      </c>
      <c r="AZ197" s="53" t="s">
        <v>537</v>
      </c>
      <c r="BA197" s="35" t="s">
        <v>117</v>
      </c>
      <c r="BC197" s="51">
        <f>AW197+AX197</f>
        <v>0</v>
      </c>
      <c r="BD197" s="51">
        <f>G197/(100-BE197)*100</f>
        <v>0</v>
      </c>
      <c r="BE197" s="51">
        <v>0</v>
      </c>
      <c r="BF197" s="51">
        <f>197</f>
        <v>197</v>
      </c>
      <c r="BH197" s="51">
        <f>F197*AO197</f>
        <v>0</v>
      </c>
      <c r="BI197" s="51">
        <f>F197*AP197</f>
        <v>0</v>
      </c>
      <c r="BJ197" s="51">
        <f>F197*G197</f>
        <v>0</v>
      </c>
      <c r="BK197" s="53" t="s">
        <v>118</v>
      </c>
      <c r="BL197" s="51">
        <v>776</v>
      </c>
      <c r="BW197" s="51">
        <v>12</v>
      </c>
      <c r="BX197" s="3" t="s">
        <v>565</v>
      </c>
    </row>
    <row r="198" spans="1:76">
      <c r="A198" s="54"/>
      <c r="C198" s="56" t="s">
        <v>567</v>
      </c>
      <c r="D198" s="57" t="s">
        <v>176</v>
      </c>
      <c r="F198" s="58">
        <v>15.01</v>
      </c>
      <c r="J198" s="41"/>
    </row>
    <row r="199" spans="1:76">
      <c r="A199" s="54"/>
      <c r="C199" s="56" t="s">
        <v>568</v>
      </c>
      <c r="D199" s="57" t="s">
        <v>168</v>
      </c>
      <c r="F199" s="58">
        <v>8.8000000000000007</v>
      </c>
      <c r="J199" s="41"/>
    </row>
    <row r="200" spans="1:76">
      <c r="A200" s="54"/>
      <c r="C200" s="56" t="s">
        <v>569</v>
      </c>
      <c r="D200" s="57" t="s">
        <v>174</v>
      </c>
      <c r="F200" s="58">
        <v>11.5</v>
      </c>
      <c r="J200" s="41"/>
    </row>
    <row r="201" spans="1:76">
      <c r="A201" s="54"/>
      <c r="C201" s="56" t="s">
        <v>570</v>
      </c>
      <c r="D201" s="57" t="s">
        <v>176</v>
      </c>
      <c r="F201" s="58">
        <v>17.3</v>
      </c>
      <c r="J201" s="41"/>
    </row>
    <row r="202" spans="1:76">
      <c r="A202" s="1" t="s">
        <v>571</v>
      </c>
      <c r="B202" s="2" t="s">
        <v>572</v>
      </c>
      <c r="C202" s="75" t="s">
        <v>573</v>
      </c>
      <c r="D202" s="70"/>
      <c r="E202" s="2" t="s">
        <v>124</v>
      </c>
      <c r="F202" s="51">
        <v>35.159999999999997</v>
      </c>
      <c r="G202" s="52">
        <v>0</v>
      </c>
      <c r="H202" s="51">
        <f>ROUND(F202*G202,2)</f>
        <v>0</v>
      </c>
      <c r="J202" s="41"/>
      <c r="Z202" s="51">
        <f>ROUND(IF(AQ202="5",BJ202,0),2)</f>
        <v>0</v>
      </c>
      <c r="AB202" s="51">
        <f>ROUND(IF(AQ202="1",BH202,0),2)</f>
        <v>0</v>
      </c>
      <c r="AC202" s="51">
        <f>ROUND(IF(AQ202="1",BI202,0),2)</f>
        <v>0</v>
      </c>
      <c r="AD202" s="51">
        <f>ROUND(IF(AQ202="7",BH202,0),2)</f>
        <v>0</v>
      </c>
      <c r="AE202" s="51">
        <f>ROUND(IF(AQ202="7",BI202,0),2)</f>
        <v>0</v>
      </c>
      <c r="AF202" s="51">
        <f>ROUND(IF(AQ202="2",BH202,0),2)</f>
        <v>0</v>
      </c>
      <c r="AG202" s="51">
        <f>ROUND(IF(AQ202="2",BI202,0),2)</f>
        <v>0</v>
      </c>
      <c r="AH202" s="51">
        <f>ROUND(IF(AQ202="0",BJ202,0),2)</f>
        <v>0</v>
      </c>
      <c r="AI202" s="35" t="s">
        <v>4</v>
      </c>
      <c r="AJ202" s="51">
        <f>IF(AN202=0,H202,0)</f>
        <v>0</v>
      </c>
      <c r="AK202" s="51">
        <f>IF(AN202=12,H202,0)</f>
        <v>0</v>
      </c>
      <c r="AL202" s="51">
        <f>IF(AN202=21,H202,0)</f>
        <v>0</v>
      </c>
      <c r="AN202" s="51">
        <v>12</v>
      </c>
      <c r="AO202" s="51">
        <f>G202*0</f>
        <v>0</v>
      </c>
      <c r="AP202" s="51">
        <f>G202*(1-0)</f>
        <v>0</v>
      </c>
      <c r="AQ202" s="53" t="s">
        <v>148</v>
      </c>
      <c r="AV202" s="51">
        <f>ROUND(AW202+AX202,2)</f>
        <v>0</v>
      </c>
      <c r="AW202" s="51">
        <f>ROUND(F202*AO202,2)</f>
        <v>0</v>
      </c>
      <c r="AX202" s="51">
        <f>ROUND(F202*AP202,2)</f>
        <v>0</v>
      </c>
      <c r="AY202" s="53" t="s">
        <v>566</v>
      </c>
      <c r="AZ202" s="53" t="s">
        <v>537</v>
      </c>
      <c r="BA202" s="35" t="s">
        <v>117</v>
      </c>
      <c r="BC202" s="51">
        <f>AW202+AX202</f>
        <v>0</v>
      </c>
      <c r="BD202" s="51">
        <f>G202/(100-BE202)*100</f>
        <v>0</v>
      </c>
      <c r="BE202" s="51">
        <v>0</v>
      </c>
      <c r="BF202" s="51">
        <f>202</f>
        <v>202</v>
      </c>
      <c r="BH202" s="51">
        <f>F202*AO202</f>
        <v>0</v>
      </c>
      <c r="BI202" s="51">
        <f>F202*AP202</f>
        <v>0</v>
      </c>
      <c r="BJ202" s="51">
        <f>F202*G202</f>
        <v>0</v>
      </c>
      <c r="BK202" s="53" t="s">
        <v>118</v>
      </c>
      <c r="BL202" s="51">
        <v>776</v>
      </c>
      <c r="BW202" s="51">
        <v>12</v>
      </c>
      <c r="BX202" s="3" t="s">
        <v>573</v>
      </c>
    </row>
    <row r="203" spans="1:76">
      <c r="A203" s="54"/>
      <c r="C203" s="56" t="s">
        <v>276</v>
      </c>
      <c r="D203" s="57" t="s">
        <v>4</v>
      </c>
      <c r="F203" s="58">
        <v>35.159999999999997</v>
      </c>
      <c r="J203" s="41"/>
    </row>
    <row r="204" spans="1:76">
      <c r="A204" s="1" t="s">
        <v>574</v>
      </c>
      <c r="B204" s="2" t="s">
        <v>575</v>
      </c>
      <c r="C204" s="75" t="s">
        <v>576</v>
      </c>
      <c r="D204" s="70"/>
      <c r="E204" s="2" t="s">
        <v>140</v>
      </c>
      <c r="F204" s="51">
        <v>52.61</v>
      </c>
      <c r="G204" s="52">
        <v>0</v>
      </c>
      <c r="H204" s="51">
        <f>ROUND(F204*G204,2)</f>
        <v>0</v>
      </c>
      <c r="J204" s="41"/>
      <c r="Z204" s="51">
        <f>ROUND(IF(AQ204="5",BJ204,0),2)</f>
        <v>0</v>
      </c>
      <c r="AB204" s="51">
        <f>ROUND(IF(AQ204="1",BH204,0),2)</f>
        <v>0</v>
      </c>
      <c r="AC204" s="51">
        <f>ROUND(IF(AQ204="1",BI204,0),2)</f>
        <v>0</v>
      </c>
      <c r="AD204" s="51">
        <f>ROUND(IF(AQ204="7",BH204,0),2)</f>
        <v>0</v>
      </c>
      <c r="AE204" s="51">
        <f>ROUND(IF(AQ204="7",BI204,0),2)</f>
        <v>0</v>
      </c>
      <c r="AF204" s="51">
        <f>ROUND(IF(AQ204="2",BH204,0),2)</f>
        <v>0</v>
      </c>
      <c r="AG204" s="51">
        <f>ROUND(IF(AQ204="2",BI204,0),2)</f>
        <v>0</v>
      </c>
      <c r="AH204" s="51">
        <f>ROUND(IF(AQ204="0",BJ204,0),2)</f>
        <v>0</v>
      </c>
      <c r="AI204" s="35" t="s">
        <v>4</v>
      </c>
      <c r="AJ204" s="51">
        <f>IF(AN204=0,H204,0)</f>
        <v>0</v>
      </c>
      <c r="AK204" s="51">
        <f>IF(AN204=12,H204,0)</f>
        <v>0</v>
      </c>
      <c r="AL204" s="51">
        <f>IF(AN204=21,H204,0)</f>
        <v>0</v>
      </c>
      <c r="AN204" s="51">
        <v>12</v>
      </c>
      <c r="AO204" s="51">
        <f>G204*0.284296043</f>
        <v>0</v>
      </c>
      <c r="AP204" s="51">
        <f>G204*(1-0.284296043)</f>
        <v>0</v>
      </c>
      <c r="AQ204" s="53" t="s">
        <v>148</v>
      </c>
      <c r="AV204" s="51">
        <f>ROUND(AW204+AX204,2)</f>
        <v>0</v>
      </c>
      <c r="AW204" s="51">
        <f>ROUND(F204*AO204,2)</f>
        <v>0</v>
      </c>
      <c r="AX204" s="51">
        <f>ROUND(F204*AP204,2)</f>
        <v>0</v>
      </c>
      <c r="AY204" s="53" t="s">
        <v>566</v>
      </c>
      <c r="AZ204" s="53" t="s">
        <v>537</v>
      </c>
      <c r="BA204" s="35" t="s">
        <v>117</v>
      </c>
      <c r="BC204" s="51">
        <f>AW204+AX204</f>
        <v>0</v>
      </c>
      <c r="BD204" s="51">
        <f>G204/(100-BE204)*100</f>
        <v>0</v>
      </c>
      <c r="BE204" s="51">
        <v>0</v>
      </c>
      <c r="BF204" s="51">
        <f>204</f>
        <v>204</v>
      </c>
      <c r="BH204" s="51">
        <f>F204*AO204</f>
        <v>0</v>
      </c>
      <c r="BI204" s="51">
        <f>F204*AP204</f>
        <v>0</v>
      </c>
      <c r="BJ204" s="51">
        <f>F204*G204</f>
        <v>0</v>
      </c>
      <c r="BK204" s="53" t="s">
        <v>118</v>
      </c>
      <c r="BL204" s="51">
        <v>776</v>
      </c>
      <c r="BW204" s="51">
        <v>12</v>
      </c>
      <c r="BX204" s="3" t="s">
        <v>576</v>
      </c>
    </row>
    <row r="205" spans="1:76" ht="13.5" customHeight="1">
      <c r="A205" s="54"/>
      <c r="B205" s="55" t="s">
        <v>119</v>
      </c>
      <c r="C205" s="152" t="s">
        <v>577</v>
      </c>
      <c r="D205" s="153"/>
      <c r="E205" s="153"/>
      <c r="F205" s="153"/>
      <c r="G205" s="154"/>
      <c r="H205" s="153"/>
      <c r="I205" s="153"/>
      <c r="J205" s="155"/>
    </row>
    <row r="206" spans="1:76">
      <c r="A206" s="1" t="s">
        <v>578</v>
      </c>
      <c r="B206" s="2" t="s">
        <v>579</v>
      </c>
      <c r="C206" s="75" t="s">
        <v>580</v>
      </c>
      <c r="D206" s="70"/>
      <c r="E206" s="2" t="s">
        <v>124</v>
      </c>
      <c r="F206" s="51">
        <v>35.61</v>
      </c>
      <c r="G206" s="52">
        <v>0</v>
      </c>
      <c r="H206" s="51">
        <f>ROUND(F206*G206,2)</f>
        <v>0</v>
      </c>
      <c r="J206" s="41"/>
      <c r="Z206" s="51">
        <f>ROUND(IF(AQ206="5",BJ206,0),2)</f>
        <v>0</v>
      </c>
      <c r="AB206" s="51">
        <f>ROUND(IF(AQ206="1",BH206,0),2)</f>
        <v>0</v>
      </c>
      <c r="AC206" s="51">
        <f>ROUND(IF(AQ206="1",BI206,0),2)</f>
        <v>0</v>
      </c>
      <c r="AD206" s="51">
        <f>ROUND(IF(AQ206="7",BH206,0),2)</f>
        <v>0</v>
      </c>
      <c r="AE206" s="51">
        <f>ROUND(IF(AQ206="7",BI206,0),2)</f>
        <v>0</v>
      </c>
      <c r="AF206" s="51">
        <f>ROUND(IF(AQ206="2",BH206,0),2)</f>
        <v>0</v>
      </c>
      <c r="AG206" s="51">
        <f>ROUND(IF(AQ206="2",BI206,0),2)</f>
        <v>0</v>
      </c>
      <c r="AH206" s="51">
        <f>ROUND(IF(AQ206="0",BJ206,0),2)</f>
        <v>0</v>
      </c>
      <c r="AI206" s="35" t="s">
        <v>4</v>
      </c>
      <c r="AJ206" s="51">
        <f>IF(AN206=0,H206,0)</f>
        <v>0</v>
      </c>
      <c r="AK206" s="51">
        <f>IF(AN206=12,H206,0)</f>
        <v>0</v>
      </c>
      <c r="AL206" s="51">
        <f>IF(AN206=21,H206,0)</f>
        <v>0</v>
      </c>
      <c r="AN206" s="51">
        <v>12</v>
      </c>
      <c r="AO206" s="51">
        <f>G206*0.159144478</f>
        <v>0</v>
      </c>
      <c r="AP206" s="51">
        <f>G206*(1-0.159144478)</f>
        <v>0</v>
      </c>
      <c r="AQ206" s="53" t="s">
        <v>148</v>
      </c>
      <c r="AV206" s="51">
        <f>ROUND(AW206+AX206,2)</f>
        <v>0</v>
      </c>
      <c r="AW206" s="51">
        <f>ROUND(F206*AO206,2)</f>
        <v>0</v>
      </c>
      <c r="AX206" s="51">
        <f>ROUND(F206*AP206,2)</f>
        <v>0</v>
      </c>
      <c r="AY206" s="53" t="s">
        <v>566</v>
      </c>
      <c r="AZ206" s="53" t="s">
        <v>537</v>
      </c>
      <c r="BA206" s="35" t="s">
        <v>117</v>
      </c>
      <c r="BC206" s="51">
        <f>AW206+AX206</f>
        <v>0</v>
      </c>
      <c r="BD206" s="51">
        <f>G206/(100-BE206)*100</f>
        <v>0</v>
      </c>
      <c r="BE206" s="51">
        <v>0</v>
      </c>
      <c r="BF206" s="51">
        <f>206</f>
        <v>206</v>
      </c>
      <c r="BH206" s="51">
        <f>F206*AO206</f>
        <v>0</v>
      </c>
      <c r="BI206" s="51">
        <f>F206*AP206</f>
        <v>0</v>
      </c>
      <c r="BJ206" s="51">
        <f>F206*G206</f>
        <v>0</v>
      </c>
      <c r="BK206" s="53" t="s">
        <v>118</v>
      </c>
      <c r="BL206" s="51">
        <v>776</v>
      </c>
      <c r="BW206" s="51">
        <v>12</v>
      </c>
      <c r="BX206" s="3" t="s">
        <v>580</v>
      </c>
    </row>
    <row r="207" spans="1:76">
      <c r="A207" s="1" t="s">
        <v>581</v>
      </c>
      <c r="B207" s="2" t="s">
        <v>582</v>
      </c>
      <c r="C207" s="75" t="s">
        <v>583</v>
      </c>
      <c r="D207" s="70"/>
      <c r="E207" s="2" t="s">
        <v>515</v>
      </c>
      <c r="F207" s="51">
        <v>2</v>
      </c>
      <c r="G207" s="52">
        <v>0</v>
      </c>
      <c r="H207" s="51">
        <f>ROUND(F207*G207,2)</f>
        <v>0</v>
      </c>
      <c r="J207" s="41"/>
      <c r="Z207" s="51">
        <f>ROUND(IF(AQ207="5",BJ207,0),2)</f>
        <v>0</v>
      </c>
      <c r="AB207" s="51">
        <f>ROUND(IF(AQ207="1",BH207,0),2)</f>
        <v>0</v>
      </c>
      <c r="AC207" s="51">
        <f>ROUND(IF(AQ207="1",BI207,0),2)</f>
        <v>0</v>
      </c>
      <c r="AD207" s="51">
        <f>ROUND(IF(AQ207="7",BH207,0),2)</f>
        <v>0</v>
      </c>
      <c r="AE207" s="51">
        <f>ROUND(IF(AQ207="7",BI207,0),2)</f>
        <v>0</v>
      </c>
      <c r="AF207" s="51">
        <f>ROUND(IF(AQ207="2",BH207,0),2)</f>
        <v>0</v>
      </c>
      <c r="AG207" s="51">
        <f>ROUND(IF(AQ207="2",BI207,0),2)</f>
        <v>0</v>
      </c>
      <c r="AH207" s="51">
        <f>ROUND(IF(AQ207="0",BJ207,0),2)</f>
        <v>0</v>
      </c>
      <c r="AI207" s="35" t="s">
        <v>4</v>
      </c>
      <c r="AJ207" s="51">
        <f>IF(AN207=0,H207,0)</f>
        <v>0</v>
      </c>
      <c r="AK207" s="51">
        <f>IF(AN207=12,H207,0)</f>
        <v>0</v>
      </c>
      <c r="AL207" s="51">
        <f>IF(AN207=21,H207,0)</f>
        <v>0</v>
      </c>
      <c r="AN207" s="51">
        <v>12</v>
      </c>
      <c r="AO207" s="51">
        <f>G207*0</f>
        <v>0</v>
      </c>
      <c r="AP207" s="51">
        <f>G207*(1-0)</f>
        <v>0</v>
      </c>
      <c r="AQ207" s="53" t="s">
        <v>148</v>
      </c>
      <c r="AV207" s="51">
        <f>ROUND(AW207+AX207,2)</f>
        <v>0</v>
      </c>
      <c r="AW207" s="51">
        <f>ROUND(F207*AO207,2)</f>
        <v>0</v>
      </c>
      <c r="AX207" s="51">
        <f>ROUND(F207*AP207,2)</f>
        <v>0</v>
      </c>
      <c r="AY207" s="53" t="s">
        <v>566</v>
      </c>
      <c r="AZ207" s="53" t="s">
        <v>537</v>
      </c>
      <c r="BA207" s="35" t="s">
        <v>117</v>
      </c>
      <c r="BC207" s="51">
        <f>AW207+AX207</f>
        <v>0</v>
      </c>
      <c r="BD207" s="51">
        <f>G207/(100-BE207)*100</f>
        <v>0</v>
      </c>
      <c r="BE207" s="51">
        <v>0</v>
      </c>
      <c r="BF207" s="51">
        <f>207</f>
        <v>207</v>
      </c>
      <c r="BH207" s="51">
        <f>F207*AO207</f>
        <v>0</v>
      </c>
      <c r="BI207" s="51">
        <f>F207*AP207</f>
        <v>0</v>
      </c>
      <c r="BJ207" s="51">
        <f>F207*G207</f>
        <v>0</v>
      </c>
      <c r="BK207" s="53" t="s">
        <v>118</v>
      </c>
      <c r="BL207" s="51">
        <v>776</v>
      </c>
      <c r="BW207" s="51">
        <v>12</v>
      </c>
      <c r="BX207" s="3" t="s">
        <v>583</v>
      </c>
    </row>
    <row r="208" spans="1:76">
      <c r="A208" s="1" t="s">
        <v>584</v>
      </c>
      <c r="B208" s="2" t="s">
        <v>585</v>
      </c>
      <c r="C208" s="75" t="s">
        <v>586</v>
      </c>
      <c r="D208" s="70"/>
      <c r="E208" s="2" t="s">
        <v>124</v>
      </c>
      <c r="F208" s="51">
        <v>38.676000000000002</v>
      </c>
      <c r="G208" s="52">
        <v>0</v>
      </c>
      <c r="H208" s="51">
        <f>ROUND(F208*G208,2)</f>
        <v>0</v>
      </c>
      <c r="J208" s="41"/>
      <c r="Z208" s="51">
        <f>ROUND(IF(AQ208="5",BJ208,0),2)</f>
        <v>0</v>
      </c>
      <c r="AB208" s="51">
        <f>ROUND(IF(AQ208="1",BH208,0),2)</f>
        <v>0</v>
      </c>
      <c r="AC208" s="51">
        <f>ROUND(IF(AQ208="1",BI208,0),2)</f>
        <v>0</v>
      </c>
      <c r="AD208" s="51">
        <f>ROUND(IF(AQ208="7",BH208,0),2)</f>
        <v>0</v>
      </c>
      <c r="AE208" s="51">
        <f>ROUND(IF(AQ208="7",BI208,0),2)</f>
        <v>0</v>
      </c>
      <c r="AF208" s="51">
        <f>ROUND(IF(AQ208="2",BH208,0),2)</f>
        <v>0</v>
      </c>
      <c r="AG208" s="51">
        <f>ROUND(IF(AQ208="2",BI208,0),2)</f>
        <v>0</v>
      </c>
      <c r="AH208" s="51">
        <f>ROUND(IF(AQ208="0",BJ208,0),2)</f>
        <v>0</v>
      </c>
      <c r="AI208" s="35" t="s">
        <v>4</v>
      </c>
      <c r="AJ208" s="51">
        <f>IF(AN208=0,H208,0)</f>
        <v>0</v>
      </c>
      <c r="AK208" s="51">
        <f>IF(AN208=12,H208,0)</f>
        <v>0</v>
      </c>
      <c r="AL208" s="51">
        <f>IF(AN208=21,H208,0)</f>
        <v>0</v>
      </c>
      <c r="AN208" s="51">
        <v>12</v>
      </c>
      <c r="AO208" s="51">
        <f>G208*1</f>
        <v>0</v>
      </c>
      <c r="AP208" s="51">
        <f>G208*(1-1)</f>
        <v>0</v>
      </c>
      <c r="AQ208" s="53" t="s">
        <v>148</v>
      </c>
      <c r="AV208" s="51">
        <f>ROUND(AW208+AX208,2)</f>
        <v>0</v>
      </c>
      <c r="AW208" s="51">
        <f>ROUND(F208*AO208,2)</f>
        <v>0</v>
      </c>
      <c r="AX208" s="51">
        <f>ROUND(F208*AP208,2)</f>
        <v>0</v>
      </c>
      <c r="AY208" s="53" t="s">
        <v>566</v>
      </c>
      <c r="AZ208" s="53" t="s">
        <v>537</v>
      </c>
      <c r="BA208" s="35" t="s">
        <v>117</v>
      </c>
      <c r="BC208" s="51">
        <f>AW208+AX208</f>
        <v>0</v>
      </c>
      <c r="BD208" s="51">
        <f>G208/(100-BE208)*100</f>
        <v>0</v>
      </c>
      <c r="BE208" s="51">
        <v>0</v>
      </c>
      <c r="BF208" s="51">
        <f>208</f>
        <v>208</v>
      </c>
      <c r="BH208" s="51">
        <f>F208*AO208</f>
        <v>0</v>
      </c>
      <c r="BI208" s="51">
        <f>F208*AP208</f>
        <v>0</v>
      </c>
      <c r="BJ208" s="51">
        <f>F208*G208</f>
        <v>0</v>
      </c>
      <c r="BK208" s="53" t="s">
        <v>256</v>
      </c>
      <c r="BL208" s="51">
        <v>776</v>
      </c>
      <c r="BW208" s="51">
        <v>12</v>
      </c>
      <c r="BX208" s="3" t="s">
        <v>586</v>
      </c>
    </row>
    <row r="209" spans="1:76">
      <c r="A209" s="54"/>
      <c r="C209" s="56" t="s">
        <v>587</v>
      </c>
      <c r="D209" s="57" t="s">
        <v>4</v>
      </c>
      <c r="F209" s="58">
        <v>38.676000000000002</v>
      </c>
      <c r="J209" s="41"/>
    </row>
    <row r="210" spans="1:76">
      <c r="A210" s="1" t="s">
        <v>588</v>
      </c>
      <c r="B210" s="2" t="s">
        <v>589</v>
      </c>
      <c r="C210" s="75" t="s">
        <v>590</v>
      </c>
      <c r="D210" s="70"/>
      <c r="E210" s="2" t="s">
        <v>281</v>
      </c>
      <c r="F210" s="51">
        <v>0.09</v>
      </c>
      <c r="G210" s="52">
        <v>0</v>
      </c>
      <c r="H210" s="51">
        <f>ROUND(F210*G210,2)</f>
        <v>0</v>
      </c>
      <c r="J210" s="41"/>
      <c r="Z210" s="51">
        <f>ROUND(IF(AQ210="5",BJ210,0),2)</f>
        <v>0</v>
      </c>
      <c r="AB210" s="51">
        <f>ROUND(IF(AQ210="1",BH210,0),2)</f>
        <v>0</v>
      </c>
      <c r="AC210" s="51">
        <f>ROUND(IF(AQ210="1",BI210,0),2)</f>
        <v>0</v>
      </c>
      <c r="AD210" s="51">
        <f>ROUND(IF(AQ210="7",BH210,0),2)</f>
        <v>0</v>
      </c>
      <c r="AE210" s="51">
        <f>ROUND(IF(AQ210="7",BI210,0),2)</f>
        <v>0</v>
      </c>
      <c r="AF210" s="51">
        <f>ROUND(IF(AQ210="2",BH210,0),2)</f>
        <v>0</v>
      </c>
      <c r="AG210" s="51">
        <f>ROUND(IF(AQ210="2",BI210,0),2)</f>
        <v>0</v>
      </c>
      <c r="AH210" s="51">
        <f>ROUND(IF(AQ210="0",BJ210,0),2)</f>
        <v>0</v>
      </c>
      <c r="AI210" s="35" t="s">
        <v>4</v>
      </c>
      <c r="AJ210" s="51">
        <f>IF(AN210=0,H210,0)</f>
        <v>0</v>
      </c>
      <c r="AK210" s="51">
        <f>IF(AN210=12,H210,0)</f>
        <v>0</v>
      </c>
      <c r="AL210" s="51">
        <f>IF(AN210=21,H210,0)</f>
        <v>0</v>
      </c>
      <c r="AN210" s="51">
        <v>12</v>
      </c>
      <c r="AO210" s="51">
        <f>G210*0</f>
        <v>0</v>
      </c>
      <c r="AP210" s="51">
        <f>G210*(1-0)</f>
        <v>0</v>
      </c>
      <c r="AQ210" s="53" t="s">
        <v>137</v>
      </c>
      <c r="AV210" s="51">
        <f>ROUND(AW210+AX210,2)</f>
        <v>0</v>
      </c>
      <c r="AW210" s="51">
        <f>ROUND(F210*AO210,2)</f>
        <v>0</v>
      </c>
      <c r="AX210" s="51">
        <f>ROUND(F210*AP210,2)</f>
        <v>0</v>
      </c>
      <c r="AY210" s="53" t="s">
        <v>566</v>
      </c>
      <c r="AZ210" s="53" t="s">
        <v>537</v>
      </c>
      <c r="BA210" s="35" t="s">
        <v>117</v>
      </c>
      <c r="BC210" s="51">
        <f>AW210+AX210</f>
        <v>0</v>
      </c>
      <c r="BD210" s="51">
        <f>G210/(100-BE210)*100</f>
        <v>0</v>
      </c>
      <c r="BE210" s="51">
        <v>0</v>
      </c>
      <c r="BF210" s="51">
        <f>210</f>
        <v>210</v>
      </c>
      <c r="BH210" s="51">
        <f>F210*AO210</f>
        <v>0</v>
      </c>
      <c r="BI210" s="51">
        <f>F210*AP210</f>
        <v>0</v>
      </c>
      <c r="BJ210" s="51">
        <f>F210*G210</f>
        <v>0</v>
      </c>
      <c r="BK210" s="53" t="s">
        <v>118</v>
      </c>
      <c r="BL210" s="51">
        <v>776</v>
      </c>
      <c r="BW210" s="51">
        <v>12</v>
      </c>
      <c r="BX210" s="3" t="s">
        <v>590</v>
      </c>
    </row>
    <row r="211" spans="1:76">
      <c r="A211" s="47" t="s">
        <v>4</v>
      </c>
      <c r="B211" s="48" t="s">
        <v>591</v>
      </c>
      <c r="C211" s="150" t="s">
        <v>592</v>
      </c>
      <c r="D211" s="151"/>
      <c r="E211" s="49" t="s">
        <v>79</v>
      </c>
      <c r="F211" s="49" t="s">
        <v>79</v>
      </c>
      <c r="G211" s="50" t="s">
        <v>79</v>
      </c>
      <c r="H211" s="28">
        <f>SUM(H212:H214)</f>
        <v>0</v>
      </c>
      <c r="J211" s="41"/>
      <c r="AI211" s="35" t="s">
        <v>4</v>
      </c>
      <c r="AS211" s="28">
        <f>SUM(AJ212:AJ214)</f>
        <v>0</v>
      </c>
      <c r="AT211" s="28">
        <f>SUM(AK212:AK214)</f>
        <v>0</v>
      </c>
      <c r="AU211" s="28">
        <f>SUM(AL212:AL214)</f>
        <v>0</v>
      </c>
    </row>
    <row r="212" spans="1:76">
      <c r="A212" s="1" t="s">
        <v>593</v>
      </c>
      <c r="B212" s="2" t="s">
        <v>594</v>
      </c>
      <c r="C212" s="75" t="s">
        <v>595</v>
      </c>
      <c r="D212" s="70"/>
      <c r="E212" s="2" t="s">
        <v>124</v>
      </c>
      <c r="F212" s="51">
        <v>35.159999999999997</v>
      </c>
      <c r="G212" s="52">
        <v>0</v>
      </c>
      <c r="H212" s="51">
        <f>ROUND(F212*G212,2)</f>
        <v>0</v>
      </c>
      <c r="J212" s="41"/>
      <c r="Z212" s="51">
        <f>ROUND(IF(AQ212="5",BJ212,0),2)</f>
        <v>0</v>
      </c>
      <c r="AB212" s="51">
        <f>ROUND(IF(AQ212="1",BH212,0),2)</f>
        <v>0</v>
      </c>
      <c r="AC212" s="51">
        <f>ROUND(IF(AQ212="1",BI212,0),2)</f>
        <v>0</v>
      </c>
      <c r="AD212" s="51">
        <f>ROUND(IF(AQ212="7",BH212,0),2)</f>
        <v>0</v>
      </c>
      <c r="AE212" s="51">
        <f>ROUND(IF(AQ212="7",BI212,0),2)</f>
        <v>0</v>
      </c>
      <c r="AF212" s="51">
        <f>ROUND(IF(AQ212="2",BH212,0),2)</f>
        <v>0</v>
      </c>
      <c r="AG212" s="51">
        <f>ROUND(IF(AQ212="2",BI212,0),2)</f>
        <v>0</v>
      </c>
      <c r="AH212" s="51">
        <f>ROUND(IF(AQ212="0",BJ212,0),2)</f>
        <v>0</v>
      </c>
      <c r="AI212" s="35" t="s">
        <v>4</v>
      </c>
      <c r="AJ212" s="51">
        <f>IF(AN212=0,H212,0)</f>
        <v>0</v>
      </c>
      <c r="AK212" s="51">
        <f>IF(AN212=12,H212,0)</f>
        <v>0</v>
      </c>
      <c r="AL212" s="51">
        <f>IF(AN212=21,H212,0)</f>
        <v>0</v>
      </c>
      <c r="AN212" s="51">
        <v>12</v>
      </c>
      <c r="AO212" s="51">
        <f>G212*0.147014189</f>
        <v>0</v>
      </c>
      <c r="AP212" s="51">
        <f>G212*(1-0.147014189)</f>
        <v>0</v>
      </c>
      <c r="AQ212" s="53" t="s">
        <v>148</v>
      </c>
      <c r="AV212" s="51">
        <f>ROUND(AW212+AX212,2)</f>
        <v>0</v>
      </c>
      <c r="AW212" s="51">
        <f>ROUND(F212*AO212,2)</f>
        <v>0</v>
      </c>
      <c r="AX212" s="51">
        <f>ROUND(F212*AP212,2)</f>
        <v>0</v>
      </c>
      <c r="AY212" s="53" t="s">
        <v>596</v>
      </c>
      <c r="AZ212" s="53" t="s">
        <v>537</v>
      </c>
      <c r="BA212" s="35" t="s">
        <v>117</v>
      </c>
      <c r="BC212" s="51">
        <f>AW212+AX212</f>
        <v>0</v>
      </c>
      <c r="BD212" s="51">
        <f>G212/(100-BE212)*100</f>
        <v>0</v>
      </c>
      <c r="BE212" s="51">
        <v>0</v>
      </c>
      <c r="BF212" s="51">
        <f>212</f>
        <v>212</v>
      </c>
      <c r="BH212" s="51">
        <f>F212*AO212</f>
        <v>0</v>
      </c>
      <c r="BI212" s="51">
        <f>F212*AP212</f>
        <v>0</v>
      </c>
      <c r="BJ212" s="51">
        <f>F212*G212</f>
        <v>0</v>
      </c>
      <c r="BK212" s="53" t="s">
        <v>118</v>
      </c>
      <c r="BL212" s="51">
        <v>777</v>
      </c>
      <c r="BW212" s="51">
        <v>12</v>
      </c>
      <c r="BX212" s="3" t="s">
        <v>595</v>
      </c>
    </row>
    <row r="213" spans="1:76">
      <c r="A213" s="1" t="s">
        <v>597</v>
      </c>
      <c r="B213" s="2" t="s">
        <v>598</v>
      </c>
      <c r="C213" s="75" t="s">
        <v>599</v>
      </c>
      <c r="D213" s="70"/>
      <c r="E213" s="2" t="s">
        <v>124</v>
      </c>
      <c r="F213" s="51">
        <v>35.159999999999997</v>
      </c>
      <c r="G213" s="52">
        <v>0</v>
      </c>
      <c r="H213" s="51">
        <f>ROUND(F213*G213,2)</f>
        <v>0</v>
      </c>
      <c r="J213" s="41"/>
      <c r="Z213" s="51">
        <f>ROUND(IF(AQ213="5",BJ213,0),2)</f>
        <v>0</v>
      </c>
      <c r="AB213" s="51">
        <f>ROUND(IF(AQ213="1",BH213,0),2)</f>
        <v>0</v>
      </c>
      <c r="AC213" s="51">
        <f>ROUND(IF(AQ213="1",BI213,0),2)</f>
        <v>0</v>
      </c>
      <c r="AD213" s="51">
        <f>ROUND(IF(AQ213="7",BH213,0),2)</f>
        <v>0</v>
      </c>
      <c r="AE213" s="51">
        <f>ROUND(IF(AQ213="7",BI213,0),2)</f>
        <v>0</v>
      </c>
      <c r="AF213" s="51">
        <f>ROUND(IF(AQ213="2",BH213,0),2)</f>
        <v>0</v>
      </c>
      <c r="AG213" s="51">
        <f>ROUND(IF(AQ213="2",BI213,0),2)</f>
        <v>0</v>
      </c>
      <c r="AH213" s="51">
        <f>ROUND(IF(AQ213="0",BJ213,0),2)</f>
        <v>0</v>
      </c>
      <c r="AI213" s="35" t="s">
        <v>4</v>
      </c>
      <c r="AJ213" s="51">
        <f>IF(AN213=0,H213,0)</f>
        <v>0</v>
      </c>
      <c r="AK213" s="51">
        <f>IF(AN213=12,H213,0)</f>
        <v>0</v>
      </c>
      <c r="AL213" s="51">
        <f>IF(AN213=21,H213,0)</f>
        <v>0</v>
      </c>
      <c r="AN213" s="51">
        <v>12</v>
      </c>
      <c r="AO213" s="51">
        <f>G213*0.198619711</f>
        <v>0</v>
      </c>
      <c r="AP213" s="51">
        <f>G213*(1-0.198619711)</f>
        <v>0</v>
      </c>
      <c r="AQ213" s="53" t="s">
        <v>148</v>
      </c>
      <c r="AV213" s="51">
        <f>ROUND(AW213+AX213,2)</f>
        <v>0</v>
      </c>
      <c r="AW213" s="51">
        <f>ROUND(F213*AO213,2)</f>
        <v>0</v>
      </c>
      <c r="AX213" s="51">
        <f>ROUND(F213*AP213,2)</f>
        <v>0</v>
      </c>
      <c r="AY213" s="53" t="s">
        <v>596</v>
      </c>
      <c r="AZ213" s="53" t="s">
        <v>537</v>
      </c>
      <c r="BA213" s="35" t="s">
        <v>117</v>
      </c>
      <c r="BC213" s="51">
        <f>AW213+AX213</f>
        <v>0</v>
      </c>
      <c r="BD213" s="51">
        <f>G213/(100-BE213)*100</f>
        <v>0</v>
      </c>
      <c r="BE213" s="51">
        <v>0</v>
      </c>
      <c r="BF213" s="51">
        <f>213</f>
        <v>213</v>
      </c>
      <c r="BH213" s="51">
        <f>F213*AO213</f>
        <v>0</v>
      </c>
      <c r="BI213" s="51">
        <f>F213*AP213</f>
        <v>0</v>
      </c>
      <c r="BJ213" s="51">
        <f>F213*G213</f>
        <v>0</v>
      </c>
      <c r="BK213" s="53" t="s">
        <v>118</v>
      </c>
      <c r="BL213" s="51">
        <v>777</v>
      </c>
      <c r="BW213" s="51">
        <v>12</v>
      </c>
      <c r="BX213" s="3" t="s">
        <v>599</v>
      </c>
    </row>
    <row r="214" spans="1:76">
      <c r="A214" s="1" t="s">
        <v>600</v>
      </c>
      <c r="B214" s="2" t="s">
        <v>601</v>
      </c>
      <c r="C214" s="75" t="s">
        <v>602</v>
      </c>
      <c r="D214" s="70"/>
      <c r="E214" s="2" t="s">
        <v>281</v>
      </c>
      <c r="F214" s="51">
        <v>0.107</v>
      </c>
      <c r="G214" s="52">
        <v>0</v>
      </c>
      <c r="H214" s="51">
        <f>ROUND(F214*G214,2)</f>
        <v>0</v>
      </c>
      <c r="J214" s="41"/>
      <c r="Z214" s="51">
        <f>ROUND(IF(AQ214="5",BJ214,0),2)</f>
        <v>0</v>
      </c>
      <c r="AB214" s="51">
        <f>ROUND(IF(AQ214="1",BH214,0),2)</f>
        <v>0</v>
      </c>
      <c r="AC214" s="51">
        <f>ROUND(IF(AQ214="1",BI214,0),2)</f>
        <v>0</v>
      </c>
      <c r="AD214" s="51">
        <f>ROUND(IF(AQ214="7",BH214,0),2)</f>
        <v>0</v>
      </c>
      <c r="AE214" s="51">
        <f>ROUND(IF(AQ214="7",BI214,0),2)</f>
        <v>0</v>
      </c>
      <c r="AF214" s="51">
        <f>ROUND(IF(AQ214="2",BH214,0),2)</f>
        <v>0</v>
      </c>
      <c r="AG214" s="51">
        <f>ROUND(IF(AQ214="2",BI214,0),2)</f>
        <v>0</v>
      </c>
      <c r="AH214" s="51">
        <f>ROUND(IF(AQ214="0",BJ214,0),2)</f>
        <v>0</v>
      </c>
      <c r="AI214" s="35" t="s">
        <v>4</v>
      </c>
      <c r="AJ214" s="51">
        <f>IF(AN214=0,H214,0)</f>
        <v>0</v>
      </c>
      <c r="AK214" s="51">
        <f>IF(AN214=12,H214,0)</f>
        <v>0</v>
      </c>
      <c r="AL214" s="51">
        <f>IF(AN214=21,H214,0)</f>
        <v>0</v>
      </c>
      <c r="AN214" s="51">
        <v>12</v>
      </c>
      <c r="AO214" s="51">
        <f>G214*0</f>
        <v>0</v>
      </c>
      <c r="AP214" s="51">
        <f>G214*(1-0)</f>
        <v>0</v>
      </c>
      <c r="AQ214" s="53" t="s">
        <v>137</v>
      </c>
      <c r="AV214" s="51">
        <f>ROUND(AW214+AX214,2)</f>
        <v>0</v>
      </c>
      <c r="AW214" s="51">
        <f>ROUND(F214*AO214,2)</f>
        <v>0</v>
      </c>
      <c r="AX214" s="51">
        <f>ROUND(F214*AP214,2)</f>
        <v>0</v>
      </c>
      <c r="AY214" s="53" t="s">
        <v>596</v>
      </c>
      <c r="AZ214" s="53" t="s">
        <v>537</v>
      </c>
      <c r="BA214" s="35" t="s">
        <v>117</v>
      </c>
      <c r="BC214" s="51">
        <f>AW214+AX214</f>
        <v>0</v>
      </c>
      <c r="BD214" s="51">
        <f>G214/(100-BE214)*100</f>
        <v>0</v>
      </c>
      <c r="BE214" s="51">
        <v>0</v>
      </c>
      <c r="BF214" s="51">
        <f>214</f>
        <v>214</v>
      </c>
      <c r="BH214" s="51">
        <f>F214*AO214</f>
        <v>0</v>
      </c>
      <c r="BI214" s="51">
        <f>F214*AP214</f>
        <v>0</v>
      </c>
      <c r="BJ214" s="51">
        <f>F214*G214</f>
        <v>0</v>
      </c>
      <c r="BK214" s="53" t="s">
        <v>118</v>
      </c>
      <c r="BL214" s="51">
        <v>777</v>
      </c>
      <c r="BW214" s="51">
        <v>12</v>
      </c>
      <c r="BX214" s="3" t="s">
        <v>602</v>
      </c>
    </row>
    <row r="215" spans="1:76">
      <c r="A215" s="47" t="s">
        <v>4</v>
      </c>
      <c r="B215" s="48" t="s">
        <v>603</v>
      </c>
      <c r="C215" s="150" t="s">
        <v>604</v>
      </c>
      <c r="D215" s="151"/>
      <c r="E215" s="49" t="s">
        <v>79</v>
      </c>
      <c r="F215" s="49" t="s">
        <v>79</v>
      </c>
      <c r="G215" s="50" t="s">
        <v>79</v>
      </c>
      <c r="H215" s="28">
        <f>SUM(H216:H225)</f>
        <v>0</v>
      </c>
      <c r="J215" s="41"/>
      <c r="AI215" s="35" t="s">
        <v>4</v>
      </c>
      <c r="AS215" s="28">
        <f>SUM(AJ216:AJ225)</f>
        <v>0</v>
      </c>
      <c r="AT215" s="28">
        <f>SUM(AK216:AK225)</f>
        <v>0</v>
      </c>
      <c r="AU215" s="28">
        <f>SUM(AL216:AL225)</f>
        <v>0</v>
      </c>
    </row>
    <row r="216" spans="1:76">
      <c r="A216" s="1" t="s">
        <v>605</v>
      </c>
      <c r="B216" s="2" t="s">
        <v>606</v>
      </c>
      <c r="C216" s="75" t="s">
        <v>607</v>
      </c>
      <c r="D216" s="70"/>
      <c r="E216" s="2" t="s">
        <v>124</v>
      </c>
      <c r="F216" s="51">
        <v>21.728000000000002</v>
      </c>
      <c r="G216" s="52">
        <v>0</v>
      </c>
      <c r="H216" s="51">
        <f>ROUND(F216*G216,2)</f>
        <v>0</v>
      </c>
      <c r="J216" s="41"/>
      <c r="Z216" s="51">
        <f>ROUND(IF(AQ216="5",BJ216,0),2)</f>
        <v>0</v>
      </c>
      <c r="AB216" s="51">
        <f>ROUND(IF(AQ216="1",BH216,0),2)</f>
        <v>0</v>
      </c>
      <c r="AC216" s="51">
        <f>ROUND(IF(AQ216="1",BI216,0),2)</f>
        <v>0</v>
      </c>
      <c r="AD216" s="51">
        <f>ROUND(IF(AQ216="7",BH216,0),2)</f>
        <v>0</v>
      </c>
      <c r="AE216" s="51">
        <f>ROUND(IF(AQ216="7",BI216,0),2)</f>
        <v>0</v>
      </c>
      <c r="AF216" s="51">
        <f>ROUND(IF(AQ216="2",BH216,0),2)</f>
        <v>0</v>
      </c>
      <c r="AG216" s="51">
        <f>ROUND(IF(AQ216="2",BI216,0),2)</f>
        <v>0</v>
      </c>
      <c r="AH216" s="51">
        <f>ROUND(IF(AQ216="0",BJ216,0),2)</f>
        <v>0</v>
      </c>
      <c r="AI216" s="35" t="s">
        <v>4</v>
      </c>
      <c r="AJ216" s="51">
        <f>IF(AN216=0,H216,0)</f>
        <v>0</v>
      </c>
      <c r="AK216" s="51">
        <f>IF(AN216=12,H216,0)</f>
        <v>0</v>
      </c>
      <c r="AL216" s="51">
        <f>IF(AN216=21,H216,0)</f>
        <v>0</v>
      </c>
      <c r="AN216" s="51">
        <v>12</v>
      </c>
      <c r="AO216" s="51">
        <f>G216*0.152337421</f>
        <v>0</v>
      </c>
      <c r="AP216" s="51">
        <f>G216*(1-0.152337421)</f>
        <v>0</v>
      </c>
      <c r="AQ216" s="53" t="s">
        <v>148</v>
      </c>
      <c r="AV216" s="51">
        <f>ROUND(AW216+AX216,2)</f>
        <v>0</v>
      </c>
      <c r="AW216" s="51">
        <f>ROUND(F216*AO216,2)</f>
        <v>0</v>
      </c>
      <c r="AX216" s="51">
        <f>ROUND(F216*AP216,2)</f>
        <v>0</v>
      </c>
      <c r="AY216" s="53" t="s">
        <v>608</v>
      </c>
      <c r="AZ216" s="53" t="s">
        <v>609</v>
      </c>
      <c r="BA216" s="35" t="s">
        <v>117</v>
      </c>
      <c r="BC216" s="51">
        <f>AW216+AX216</f>
        <v>0</v>
      </c>
      <c r="BD216" s="51">
        <f>G216/(100-BE216)*100</f>
        <v>0</v>
      </c>
      <c r="BE216" s="51">
        <v>0</v>
      </c>
      <c r="BF216" s="51">
        <f>216</f>
        <v>216</v>
      </c>
      <c r="BH216" s="51">
        <f>F216*AO216</f>
        <v>0</v>
      </c>
      <c r="BI216" s="51">
        <f>F216*AP216</f>
        <v>0</v>
      </c>
      <c r="BJ216" s="51">
        <f>F216*G216</f>
        <v>0</v>
      </c>
      <c r="BK216" s="53" t="s">
        <v>118</v>
      </c>
      <c r="BL216" s="51">
        <v>781</v>
      </c>
      <c r="BW216" s="51">
        <v>12</v>
      </c>
      <c r="BX216" s="3" t="s">
        <v>607</v>
      </c>
    </row>
    <row r="217" spans="1:76">
      <c r="A217" s="54"/>
      <c r="C217" s="56" t="s">
        <v>610</v>
      </c>
      <c r="D217" s="57" t="s">
        <v>550</v>
      </c>
      <c r="F217" s="58">
        <v>2.6179999999999999</v>
      </c>
      <c r="J217" s="41"/>
    </row>
    <row r="218" spans="1:76">
      <c r="A218" s="54"/>
      <c r="C218" s="56" t="s">
        <v>611</v>
      </c>
      <c r="D218" s="57" t="s">
        <v>170</v>
      </c>
      <c r="F218" s="58">
        <v>7.06</v>
      </c>
      <c r="J218" s="41"/>
    </row>
    <row r="219" spans="1:76">
      <c r="A219" s="54"/>
      <c r="C219" s="56" t="s">
        <v>612</v>
      </c>
      <c r="D219" s="57" t="s">
        <v>172</v>
      </c>
      <c r="F219" s="58">
        <v>12.05</v>
      </c>
      <c r="J219" s="41"/>
    </row>
    <row r="220" spans="1:76">
      <c r="A220" s="1" t="s">
        <v>613</v>
      </c>
      <c r="B220" s="2" t="s">
        <v>614</v>
      </c>
      <c r="C220" s="75" t="s">
        <v>615</v>
      </c>
      <c r="D220" s="70"/>
      <c r="E220" s="2" t="s">
        <v>124</v>
      </c>
      <c r="F220" s="51">
        <v>9.6780000000000008</v>
      </c>
      <c r="G220" s="52">
        <v>0</v>
      </c>
      <c r="H220" s="51">
        <f>ROUND(F220*G220,2)</f>
        <v>0</v>
      </c>
      <c r="J220" s="41"/>
      <c r="Z220" s="51">
        <f>ROUND(IF(AQ220="5",BJ220,0),2)</f>
        <v>0</v>
      </c>
      <c r="AB220" s="51">
        <f>ROUND(IF(AQ220="1",BH220,0),2)</f>
        <v>0</v>
      </c>
      <c r="AC220" s="51">
        <f>ROUND(IF(AQ220="1",BI220,0),2)</f>
        <v>0</v>
      </c>
      <c r="AD220" s="51">
        <f>ROUND(IF(AQ220="7",BH220,0),2)</f>
        <v>0</v>
      </c>
      <c r="AE220" s="51">
        <f>ROUND(IF(AQ220="7",BI220,0),2)</f>
        <v>0</v>
      </c>
      <c r="AF220" s="51">
        <f>ROUND(IF(AQ220="2",BH220,0),2)</f>
        <v>0</v>
      </c>
      <c r="AG220" s="51">
        <f>ROUND(IF(AQ220="2",BI220,0),2)</f>
        <v>0</v>
      </c>
      <c r="AH220" s="51">
        <f>ROUND(IF(AQ220="0",BJ220,0),2)</f>
        <v>0</v>
      </c>
      <c r="AI220" s="35" t="s">
        <v>4</v>
      </c>
      <c r="AJ220" s="51">
        <f>IF(AN220=0,H220,0)</f>
        <v>0</v>
      </c>
      <c r="AK220" s="51">
        <f>IF(AN220=12,H220,0)</f>
        <v>0</v>
      </c>
      <c r="AL220" s="51">
        <f>IF(AN220=21,H220,0)</f>
        <v>0</v>
      </c>
      <c r="AN220" s="51">
        <v>12</v>
      </c>
      <c r="AO220" s="51">
        <f>G220*0</f>
        <v>0</v>
      </c>
      <c r="AP220" s="51">
        <f>G220*(1-0)</f>
        <v>0</v>
      </c>
      <c r="AQ220" s="53" t="s">
        <v>148</v>
      </c>
      <c r="AV220" s="51">
        <f>ROUND(AW220+AX220,2)</f>
        <v>0</v>
      </c>
      <c r="AW220" s="51">
        <f>ROUND(F220*AO220,2)</f>
        <v>0</v>
      </c>
      <c r="AX220" s="51">
        <f>ROUND(F220*AP220,2)</f>
        <v>0</v>
      </c>
      <c r="AY220" s="53" t="s">
        <v>608</v>
      </c>
      <c r="AZ220" s="53" t="s">
        <v>609</v>
      </c>
      <c r="BA220" s="35" t="s">
        <v>117</v>
      </c>
      <c r="BC220" s="51">
        <f>AW220+AX220</f>
        <v>0</v>
      </c>
      <c r="BD220" s="51">
        <f>G220/(100-BE220)*100</f>
        <v>0</v>
      </c>
      <c r="BE220" s="51">
        <v>0</v>
      </c>
      <c r="BF220" s="51">
        <f>220</f>
        <v>220</v>
      </c>
      <c r="BH220" s="51">
        <f>F220*AO220</f>
        <v>0</v>
      </c>
      <c r="BI220" s="51">
        <f>F220*AP220</f>
        <v>0</v>
      </c>
      <c r="BJ220" s="51">
        <f>F220*G220</f>
        <v>0</v>
      </c>
      <c r="BK220" s="53" t="s">
        <v>118</v>
      </c>
      <c r="BL220" s="51">
        <v>781</v>
      </c>
      <c r="BW220" s="51">
        <v>12</v>
      </c>
      <c r="BX220" s="3" t="s">
        <v>615</v>
      </c>
    </row>
    <row r="221" spans="1:76">
      <c r="A221" s="54"/>
      <c r="C221" s="56" t="s">
        <v>616</v>
      </c>
      <c r="D221" s="57" t="s">
        <v>4</v>
      </c>
      <c r="F221" s="58">
        <v>9.6780000000000008</v>
      </c>
      <c r="J221" s="41"/>
    </row>
    <row r="222" spans="1:76">
      <c r="A222" s="1" t="s">
        <v>617</v>
      </c>
      <c r="B222" s="2" t="s">
        <v>618</v>
      </c>
      <c r="C222" s="75" t="s">
        <v>619</v>
      </c>
      <c r="D222" s="70"/>
      <c r="E222" s="2" t="s">
        <v>114</v>
      </c>
      <c r="F222" s="51">
        <v>8</v>
      </c>
      <c r="G222" s="52">
        <v>0</v>
      </c>
      <c r="H222" s="51">
        <f>ROUND(F222*G222,2)</f>
        <v>0</v>
      </c>
      <c r="J222" s="41"/>
      <c r="Z222" s="51">
        <f>ROUND(IF(AQ222="5",BJ222,0),2)</f>
        <v>0</v>
      </c>
      <c r="AB222" s="51">
        <f>ROUND(IF(AQ222="1",BH222,0),2)</f>
        <v>0</v>
      </c>
      <c r="AC222" s="51">
        <f>ROUND(IF(AQ222="1",BI222,0),2)</f>
        <v>0</v>
      </c>
      <c r="AD222" s="51">
        <f>ROUND(IF(AQ222="7",BH222,0),2)</f>
        <v>0</v>
      </c>
      <c r="AE222" s="51">
        <f>ROUND(IF(AQ222="7",BI222,0),2)</f>
        <v>0</v>
      </c>
      <c r="AF222" s="51">
        <f>ROUND(IF(AQ222="2",BH222,0),2)</f>
        <v>0</v>
      </c>
      <c r="AG222" s="51">
        <f>ROUND(IF(AQ222="2",BI222,0),2)</f>
        <v>0</v>
      </c>
      <c r="AH222" s="51">
        <f>ROUND(IF(AQ222="0",BJ222,0),2)</f>
        <v>0</v>
      </c>
      <c r="AI222" s="35" t="s">
        <v>4</v>
      </c>
      <c r="AJ222" s="51">
        <f>IF(AN222=0,H222,0)</f>
        <v>0</v>
      </c>
      <c r="AK222" s="51">
        <f>IF(AN222=12,H222,0)</f>
        <v>0</v>
      </c>
      <c r="AL222" s="51">
        <f>IF(AN222=21,H222,0)</f>
        <v>0</v>
      </c>
      <c r="AN222" s="51">
        <v>12</v>
      </c>
      <c r="AO222" s="51">
        <f>G222*0.051656442</f>
        <v>0</v>
      </c>
      <c r="AP222" s="51">
        <f>G222*(1-0.051656442)</f>
        <v>0</v>
      </c>
      <c r="AQ222" s="53" t="s">
        <v>148</v>
      </c>
      <c r="AV222" s="51">
        <f>ROUND(AW222+AX222,2)</f>
        <v>0</v>
      </c>
      <c r="AW222" s="51">
        <f>ROUND(F222*AO222,2)</f>
        <v>0</v>
      </c>
      <c r="AX222" s="51">
        <f>ROUND(F222*AP222,2)</f>
        <v>0</v>
      </c>
      <c r="AY222" s="53" t="s">
        <v>608</v>
      </c>
      <c r="AZ222" s="53" t="s">
        <v>609</v>
      </c>
      <c r="BA222" s="35" t="s">
        <v>117</v>
      </c>
      <c r="BC222" s="51">
        <f>AW222+AX222</f>
        <v>0</v>
      </c>
      <c r="BD222" s="51">
        <f>G222/(100-BE222)*100</f>
        <v>0</v>
      </c>
      <c r="BE222" s="51">
        <v>0</v>
      </c>
      <c r="BF222" s="51">
        <f>222</f>
        <v>222</v>
      </c>
      <c r="BH222" s="51">
        <f>F222*AO222</f>
        <v>0</v>
      </c>
      <c r="BI222" s="51">
        <f>F222*AP222</f>
        <v>0</v>
      </c>
      <c r="BJ222" s="51">
        <f>F222*G222</f>
        <v>0</v>
      </c>
      <c r="BK222" s="53" t="s">
        <v>118</v>
      </c>
      <c r="BL222" s="51">
        <v>781</v>
      </c>
      <c r="BW222" s="51">
        <v>12</v>
      </c>
      <c r="BX222" s="3" t="s">
        <v>619</v>
      </c>
    </row>
    <row r="223" spans="1:76">
      <c r="A223" s="1" t="s">
        <v>620</v>
      </c>
      <c r="B223" s="2" t="s">
        <v>621</v>
      </c>
      <c r="C223" s="75" t="s">
        <v>622</v>
      </c>
      <c r="D223" s="70"/>
      <c r="E223" s="2" t="s">
        <v>124</v>
      </c>
      <c r="F223" s="51">
        <v>23.901</v>
      </c>
      <c r="G223" s="52">
        <v>0</v>
      </c>
      <c r="H223" s="51">
        <f>ROUND(F223*G223,2)</f>
        <v>0</v>
      </c>
      <c r="J223" s="41"/>
      <c r="Z223" s="51">
        <f>ROUND(IF(AQ223="5",BJ223,0),2)</f>
        <v>0</v>
      </c>
      <c r="AB223" s="51">
        <f>ROUND(IF(AQ223="1",BH223,0),2)</f>
        <v>0</v>
      </c>
      <c r="AC223" s="51">
        <f>ROUND(IF(AQ223="1",BI223,0),2)</f>
        <v>0</v>
      </c>
      <c r="AD223" s="51">
        <f>ROUND(IF(AQ223="7",BH223,0),2)</f>
        <v>0</v>
      </c>
      <c r="AE223" s="51">
        <f>ROUND(IF(AQ223="7",BI223,0),2)</f>
        <v>0</v>
      </c>
      <c r="AF223" s="51">
        <f>ROUND(IF(AQ223="2",BH223,0),2)</f>
        <v>0</v>
      </c>
      <c r="AG223" s="51">
        <f>ROUND(IF(AQ223="2",BI223,0),2)</f>
        <v>0</v>
      </c>
      <c r="AH223" s="51">
        <f>ROUND(IF(AQ223="0",BJ223,0),2)</f>
        <v>0</v>
      </c>
      <c r="AI223" s="35" t="s">
        <v>4</v>
      </c>
      <c r="AJ223" s="51">
        <f>IF(AN223=0,H223,0)</f>
        <v>0</v>
      </c>
      <c r="AK223" s="51">
        <f>IF(AN223=12,H223,0)</f>
        <v>0</v>
      </c>
      <c r="AL223" s="51">
        <f>IF(AN223=21,H223,0)</f>
        <v>0</v>
      </c>
      <c r="AN223" s="51">
        <v>12</v>
      </c>
      <c r="AO223" s="51">
        <f>G223*1</f>
        <v>0</v>
      </c>
      <c r="AP223" s="51">
        <f>G223*(1-1)</f>
        <v>0</v>
      </c>
      <c r="AQ223" s="53" t="s">
        <v>148</v>
      </c>
      <c r="AV223" s="51">
        <f>ROUND(AW223+AX223,2)</f>
        <v>0</v>
      </c>
      <c r="AW223" s="51">
        <f>ROUND(F223*AO223,2)</f>
        <v>0</v>
      </c>
      <c r="AX223" s="51">
        <f>ROUND(F223*AP223,2)</f>
        <v>0</v>
      </c>
      <c r="AY223" s="53" t="s">
        <v>608</v>
      </c>
      <c r="AZ223" s="53" t="s">
        <v>609</v>
      </c>
      <c r="BA223" s="35" t="s">
        <v>117</v>
      </c>
      <c r="BC223" s="51">
        <f>AW223+AX223</f>
        <v>0</v>
      </c>
      <c r="BD223" s="51">
        <f>G223/(100-BE223)*100</f>
        <v>0</v>
      </c>
      <c r="BE223" s="51">
        <v>0</v>
      </c>
      <c r="BF223" s="51">
        <f>223</f>
        <v>223</v>
      </c>
      <c r="BH223" s="51">
        <f>F223*AO223</f>
        <v>0</v>
      </c>
      <c r="BI223" s="51">
        <f>F223*AP223</f>
        <v>0</v>
      </c>
      <c r="BJ223" s="51">
        <f>F223*G223</f>
        <v>0</v>
      </c>
      <c r="BK223" s="53" t="s">
        <v>256</v>
      </c>
      <c r="BL223" s="51">
        <v>781</v>
      </c>
      <c r="BW223" s="51">
        <v>12</v>
      </c>
      <c r="BX223" s="3" t="s">
        <v>622</v>
      </c>
    </row>
    <row r="224" spans="1:76">
      <c r="A224" s="54"/>
      <c r="C224" s="56" t="s">
        <v>623</v>
      </c>
      <c r="D224" s="57" t="s">
        <v>4</v>
      </c>
      <c r="F224" s="58">
        <v>23.901</v>
      </c>
      <c r="J224" s="41"/>
    </row>
    <row r="225" spans="1:76">
      <c r="A225" s="1" t="s">
        <v>624</v>
      </c>
      <c r="B225" s="2" t="s">
        <v>625</v>
      </c>
      <c r="C225" s="75" t="s">
        <v>626</v>
      </c>
      <c r="D225" s="70"/>
      <c r="E225" s="2" t="s">
        <v>281</v>
      </c>
      <c r="F225" s="51">
        <v>0.39800000000000002</v>
      </c>
      <c r="G225" s="52">
        <v>0</v>
      </c>
      <c r="H225" s="51">
        <f>ROUND(F225*G225,2)</f>
        <v>0</v>
      </c>
      <c r="J225" s="41"/>
      <c r="Z225" s="51">
        <f>ROUND(IF(AQ225="5",BJ225,0),2)</f>
        <v>0</v>
      </c>
      <c r="AB225" s="51">
        <f>ROUND(IF(AQ225="1",BH225,0),2)</f>
        <v>0</v>
      </c>
      <c r="AC225" s="51">
        <f>ROUND(IF(AQ225="1",BI225,0),2)</f>
        <v>0</v>
      </c>
      <c r="AD225" s="51">
        <f>ROUND(IF(AQ225="7",BH225,0),2)</f>
        <v>0</v>
      </c>
      <c r="AE225" s="51">
        <f>ROUND(IF(AQ225="7",BI225,0),2)</f>
        <v>0</v>
      </c>
      <c r="AF225" s="51">
        <f>ROUND(IF(AQ225="2",BH225,0),2)</f>
        <v>0</v>
      </c>
      <c r="AG225" s="51">
        <f>ROUND(IF(AQ225="2",BI225,0),2)</f>
        <v>0</v>
      </c>
      <c r="AH225" s="51">
        <f>ROUND(IF(AQ225="0",BJ225,0),2)</f>
        <v>0</v>
      </c>
      <c r="AI225" s="35" t="s">
        <v>4</v>
      </c>
      <c r="AJ225" s="51">
        <f>IF(AN225=0,H225,0)</f>
        <v>0</v>
      </c>
      <c r="AK225" s="51">
        <f>IF(AN225=12,H225,0)</f>
        <v>0</v>
      </c>
      <c r="AL225" s="51">
        <f>IF(AN225=21,H225,0)</f>
        <v>0</v>
      </c>
      <c r="AN225" s="51">
        <v>12</v>
      </c>
      <c r="AO225" s="51">
        <f>G225*0</f>
        <v>0</v>
      </c>
      <c r="AP225" s="51">
        <f>G225*(1-0)</f>
        <v>0</v>
      </c>
      <c r="AQ225" s="53" t="s">
        <v>137</v>
      </c>
      <c r="AV225" s="51">
        <f>ROUND(AW225+AX225,2)</f>
        <v>0</v>
      </c>
      <c r="AW225" s="51">
        <f>ROUND(F225*AO225,2)</f>
        <v>0</v>
      </c>
      <c r="AX225" s="51">
        <f>ROUND(F225*AP225,2)</f>
        <v>0</v>
      </c>
      <c r="AY225" s="53" t="s">
        <v>608</v>
      </c>
      <c r="AZ225" s="53" t="s">
        <v>609</v>
      </c>
      <c r="BA225" s="35" t="s">
        <v>117</v>
      </c>
      <c r="BC225" s="51">
        <f>AW225+AX225</f>
        <v>0</v>
      </c>
      <c r="BD225" s="51">
        <f>G225/(100-BE225)*100</f>
        <v>0</v>
      </c>
      <c r="BE225" s="51">
        <v>0</v>
      </c>
      <c r="BF225" s="51">
        <f>225</f>
        <v>225</v>
      </c>
      <c r="BH225" s="51">
        <f>F225*AO225</f>
        <v>0</v>
      </c>
      <c r="BI225" s="51">
        <f>F225*AP225</f>
        <v>0</v>
      </c>
      <c r="BJ225" s="51">
        <f>F225*G225</f>
        <v>0</v>
      </c>
      <c r="BK225" s="53" t="s">
        <v>118</v>
      </c>
      <c r="BL225" s="51">
        <v>781</v>
      </c>
      <c r="BW225" s="51">
        <v>12</v>
      </c>
      <c r="BX225" s="3" t="s">
        <v>626</v>
      </c>
    </row>
    <row r="226" spans="1:76">
      <c r="A226" s="47" t="s">
        <v>4</v>
      </c>
      <c r="B226" s="48" t="s">
        <v>627</v>
      </c>
      <c r="C226" s="150" t="s">
        <v>628</v>
      </c>
      <c r="D226" s="151"/>
      <c r="E226" s="49" t="s">
        <v>79</v>
      </c>
      <c r="F226" s="49" t="s">
        <v>79</v>
      </c>
      <c r="G226" s="50" t="s">
        <v>79</v>
      </c>
      <c r="H226" s="28">
        <f>SUM(H227:H230)</f>
        <v>0</v>
      </c>
      <c r="J226" s="41"/>
      <c r="AI226" s="35" t="s">
        <v>4</v>
      </c>
      <c r="AS226" s="28">
        <f>SUM(AJ227:AJ230)</f>
        <v>0</v>
      </c>
      <c r="AT226" s="28">
        <f>SUM(AK227:AK230)</f>
        <v>0</v>
      </c>
      <c r="AU226" s="28">
        <f>SUM(AL227:AL230)</f>
        <v>0</v>
      </c>
    </row>
    <row r="227" spans="1:76">
      <c r="A227" s="1" t="s">
        <v>629</v>
      </c>
      <c r="B227" s="2" t="s">
        <v>630</v>
      </c>
      <c r="C227" s="75" t="s">
        <v>631</v>
      </c>
      <c r="D227" s="70"/>
      <c r="E227" s="2" t="s">
        <v>515</v>
      </c>
      <c r="F227" s="51">
        <v>5</v>
      </c>
      <c r="G227" s="52">
        <v>0</v>
      </c>
      <c r="H227" s="51">
        <f>ROUND(F227*G227,2)</f>
        <v>0</v>
      </c>
      <c r="J227" s="41"/>
      <c r="Z227" s="51">
        <f>ROUND(IF(AQ227="5",BJ227,0),2)</f>
        <v>0</v>
      </c>
      <c r="AB227" s="51">
        <f>ROUND(IF(AQ227="1",BH227,0),2)</f>
        <v>0</v>
      </c>
      <c r="AC227" s="51">
        <f>ROUND(IF(AQ227="1",BI227,0),2)</f>
        <v>0</v>
      </c>
      <c r="AD227" s="51">
        <f>ROUND(IF(AQ227="7",BH227,0),2)</f>
        <v>0</v>
      </c>
      <c r="AE227" s="51">
        <f>ROUND(IF(AQ227="7",BI227,0),2)</f>
        <v>0</v>
      </c>
      <c r="AF227" s="51">
        <f>ROUND(IF(AQ227="2",BH227,0),2)</f>
        <v>0</v>
      </c>
      <c r="AG227" s="51">
        <f>ROUND(IF(AQ227="2",BI227,0),2)</f>
        <v>0</v>
      </c>
      <c r="AH227" s="51">
        <f>ROUND(IF(AQ227="0",BJ227,0),2)</f>
        <v>0</v>
      </c>
      <c r="AI227" s="35" t="s">
        <v>4</v>
      </c>
      <c r="AJ227" s="51">
        <f>IF(AN227=0,H227,0)</f>
        <v>0</v>
      </c>
      <c r="AK227" s="51">
        <f>IF(AN227=12,H227,0)</f>
        <v>0</v>
      </c>
      <c r="AL227" s="51">
        <f>IF(AN227=21,H227,0)</f>
        <v>0</v>
      </c>
      <c r="AN227" s="51">
        <v>12</v>
      </c>
      <c r="AO227" s="51">
        <f>G227*0.194314286</f>
        <v>0</v>
      </c>
      <c r="AP227" s="51">
        <f>G227*(1-0.194314286)</f>
        <v>0</v>
      </c>
      <c r="AQ227" s="53" t="s">
        <v>148</v>
      </c>
      <c r="AV227" s="51">
        <f>ROUND(AW227+AX227,2)</f>
        <v>0</v>
      </c>
      <c r="AW227" s="51">
        <f>ROUND(F227*AO227,2)</f>
        <v>0</v>
      </c>
      <c r="AX227" s="51">
        <f>ROUND(F227*AP227,2)</f>
        <v>0</v>
      </c>
      <c r="AY227" s="53" t="s">
        <v>632</v>
      </c>
      <c r="AZ227" s="53" t="s">
        <v>609</v>
      </c>
      <c r="BA227" s="35" t="s">
        <v>117</v>
      </c>
      <c r="BC227" s="51">
        <f>AW227+AX227</f>
        <v>0</v>
      </c>
      <c r="BD227" s="51">
        <f>G227/(100-BE227)*100</f>
        <v>0</v>
      </c>
      <c r="BE227" s="51">
        <v>0</v>
      </c>
      <c r="BF227" s="51">
        <f>227</f>
        <v>227</v>
      </c>
      <c r="BH227" s="51">
        <f>F227*AO227</f>
        <v>0</v>
      </c>
      <c r="BI227" s="51">
        <f>F227*AP227</f>
        <v>0</v>
      </c>
      <c r="BJ227" s="51">
        <f>F227*G227</f>
        <v>0</v>
      </c>
      <c r="BK227" s="53" t="s">
        <v>118</v>
      </c>
      <c r="BL227" s="51">
        <v>783</v>
      </c>
      <c r="BW227" s="51">
        <v>12</v>
      </c>
      <c r="BX227" s="3" t="s">
        <v>631</v>
      </c>
    </row>
    <row r="228" spans="1:76" ht="13.5" customHeight="1">
      <c r="A228" s="54"/>
      <c r="B228" s="55" t="s">
        <v>119</v>
      </c>
      <c r="C228" s="152" t="s">
        <v>633</v>
      </c>
      <c r="D228" s="153"/>
      <c r="E228" s="153"/>
      <c r="F228" s="153"/>
      <c r="G228" s="154"/>
      <c r="H228" s="153"/>
      <c r="I228" s="153"/>
      <c r="J228" s="155"/>
    </row>
    <row r="229" spans="1:76">
      <c r="A229" s="1" t="s">
        <v>634</v>
      </c>
      <c r="B229" s="2" t="s">
        <v>635</v>
      </c>
      <c r="C229" s="75" t="s">
        <v>636</v>
      </c>
      <c r="D229" s="70"/>
      <c r="E229" s="2" t="s">
        <v>124</v>
      </c>
      <c r="F229" s="51">
        <v>10</v>
      </c>
      <c r="G229" s="52">
        <v>0</v>
      </c>
      <c r="H229" s="51">
        <f>ROUND(F229*G229,2)</f>
        <v>0</v>
      </c>
      <c r="J229" s="41"/>
      <c r="Z229" s="51">
        <f>ROUND(IF(AQ229="5",BJ229,0),2)</f>
        <v>0</v>
      </c>
      <c r="AB229" s="51">
        <f>ROUND(IF(AQ229="1",BH229,0),2)</f>
        <v>0</v>
      </c>
      <c r="AC229" s="51">
        <f>ROUND(IF(AQ229="1",BI229,0),2)</f>
        <v>0</v>
      </c>
      <c r="AD229" s="51">
        <f>ROUND(IF(AQ229="7",BH229,0),2)</f>
        <v>0</v>
      </c>
      <c r="AE229" s="51">
        <f>ROUND(IF(AQ229="7",BI229,0),2)</f>
        <v>0</v>
      </c>
      <c r="AF229" s="51">
        <f>ROUND(IF(AQ229="2",BH229,0),2)</f>
        <v>0</v>
      </c>
      <c r="AG229" s="51">
        <f>ROUND(IF(AQ229="2",BI229,0),2)</f>
        <v>0</v>
      </c>
      <c r="AH229" s="51">
        <f>ROUND(IF(AQ229="0",BJ229,0),2)</f>
        <v>0</v>
      </c>
      <c r="AI229" s="35" t="s">
        <v>4</v>
      </c>
      <c r="AJ229" s="51">
        <f>IF(AN229=0,H229,0)</f>
        <v>0</v>
      </c>
      <c r="AK229" s="51">
        <f>IF(AN229=12,H229,0)</f>
        <v>0</v>
      </c>
      <c r="AL229" s="51">
        <f>IF(AN229=21,H229,0)</f>
        <v>0</v>
      </c>
      <c r="AN229" s="51">
        <v>12</v>
      </c>
      <c r="AO229" s="51">
        <f>G229*0.032470588</f>
        <v>0</v>
      </c>
      <c r="AP229" s="51">
        <f>G229*(1-0.032470588)</f>
        <v>0</v>
      </c>
      <c r="AQ229" s="53" t="s">
        <v>148</v>
      </c>
      <c r="AV229" s="51">
        <f>ROUND(AW229+AX229,2)</f>
        <v>0</v>
      </c>
      <c r="AW229" s="51">
        <f>ROUND(F229*AO229,2)</f>
        <v>0</v>
      </c>
      <c r="AX229" s="51">
        <f>ROUND(F229*AP229,2)</f>
        <v>0</v>
      </c>
      <c r="AY229" s="53" t="s">
        <v>632</v>
      </c>
      <c r="AZ229" s="53" t="s">
        <v>609</v>
      </c>
      <c r="BA229" s="35" t="s">
        <v>117</v>
      </c>
      <c r="BC229" s="51">
        <f>AW229+AX229</f>
        <v>0</v>
      </c>
      <c r="BD229" s="51">
        <f>G229/(100-BE229)*100</f>
        <v>0</v>
      </c>
      <c r="BE229" s="51">
        <v>0</v>
      </c>
      <c r="BF229" s="51">
        <f>229</f>
        <v>229</v>
      </c>
      <c r="BH229" s="51">
        <f>F229*AO229</f>
        <v>0</v>
      </c>
      <c r="BI229" s="51">
        <f>F229*AP229</f>
        <v>0</v>
      </c>
      <c r="BJ229" s="51">
        <f>F229*G229</f>
        <v>0</v>
      </c>
      <c r="BK229" s="53" t="s">
        <v>118</v>
      </c>
      <c r="BL229" s="51">
        <v>783</v>
      </c>
      <c r="BW229" s="51">
        <v>12</v>
      </c>
      <c r="BX229" s="3" t="s">
        <v>636</v>
      </c>
    </row>
    <row r="230" spans="1:76">
      <c r="A230" s="1" t="s">
        <v>637</v>
      </c>
      <c r="B230" s="2" t="s">
        <v>638</v>
      </c>
      <c r="C230" s="75" t="s">
        <v>639</v>
      </c>
      <c r="D230" s="70"/>
      <c r="E230" s="2" t="s">
        <v>124</v>
      </c>
      <c r="F230" s="51">
        <v>10</v>
      </c>
      <c r="G230" s="52">
        <v>0</v>
      </c>
      <c r="H230" s="51">
        <f>ROUND(F230*G230,2)</f>
        <v>0</v>
      </c>
      <c r="J230" s="41"/>
      <c r="Z230" s="51">
        <f>ROUND(IF(AQ230="5",BJ230,0),2)</f>
        <v>0</v>
      </c>
      <c r="AB230" s="51">
        <f>ROUND(IF(AQ230="1",BH230,0),2)</f>
        <v>0</v>
      </c>
      <c r="AC230" s="51">
        <f>ROUND(IF(AQ230="1",BI230,0),2)</f>
        <v>0</v>
      </c>
      <c r="AD230" s="51">
        <f>ROUND(IF(AQ230="7",BH230,0),2)</f>
        <v>0</v>
      </c>
      <c r="AE230" s="51">
        <f>ROUND(IF(AQ230="7",BI230,0),2)</f>
        <v>0</v>
      </c>
      <c r="AF230" s="51">
        <f>ROUND(IF(AQ230="2",BH230,0),2)</f>
        <v>0</v>
      </c>
      <c r="AG230" s="51">
        <f>ROUND(IF(AQ230="2",BI230,0),2)</f>
        <v>0</v>
      </c>
      <c r="AH230" s="51">
        <f>ROUND(IF(AQ230="0",BJ230,0),2)</f>
        <v>0</v>
      </c>
      <c r="AI230" s="35" t="s">
        <v>4</v>
      </c>
      <c r="AJ230" s="51">
        <f>IF(AN230=0,H230,0)</f>
        <v>0</v>
      </c>
      <c r="AK230" s="51">
        <f>IF(AN230=12,H230,0)</f>
        <v>0</v>
      </c>
      <c r="AL230" s="51">
        <f>IF(AN230=21,H230,0)</f>
        <v>0</v>
      </c>
      <c r="AN230" s="51">
        <v>12</v>
      </c>
      <c r="AO230" s="51">
        <f>G230*0.383971119</f>
        <v>0</v>
      </c>
      <c r="AP230" s="51">
        <f>G230*(1-0.383971119)</f>
        <v>0</v>
      </c>
      <c r="AQ230" s="53" t="s">
        <v>148</v>
      </c>
      <c r="AV230" s="51">
        <f>ROUND(AW230+AX230,2)</f>
        <v>0</v>
      </c>
      <c r="AW230" s="51">
        <f>ROUND(F230*AO230,2)</f>
        <v>0</v>
      </c>
      <c r="AX230" s="51">
        <f>ROUND(F230*AP230,2)</f>
        <v>0</v>
      </c>
      <c r="AY230" s="53" t="s">
        <v>632</v>
      </c>
      <c r="AZ230" s="53" t="s">
        <v>609</v>
      </c>
      <c r="BA230" s="35" t="s">
        <v>117</v>
      </c>
      <c r="BC230" s="51">
        <f>AW230+AX230</f>
        <v>0</v>
      </c>
      <c r="BD230" s="51">
        <f>G230/(100-BE230)*100</f>
        <v>0</v>
      </c>
      <c r="BE230" s="51">
        <v>0</v>
      </c>
      <c r="BF230" s="51">
        <f>230</f>
        <v>230</v>
      </c>
      <c r="BH230" s="51">
        <f>F230*AO230</f>
        <v>0</v>
      </c>
      <c r="BI230" s="51">
        <f>F230*AP230</f>
        <v>0</v>
      </c>
      <c r="BJ230" s="51">
        <f>F230*G230</f>
        <v>0</v>
      </c>
      <c r="BK230" s="53" t="s">
        <v>118</v>
      </c>
      <c r="BL230" s="51">
        <v>783</v>
      </c>
      <c r="BW230" s="51">
        <v>12</v>
      </c>
      <c r="BX230" s="3" t="s">
        <v>639</v>
      </c>
    </row>
    <row r="231" spans="1:76">
      <c r="A231" s="47" t="s">
        <v>4</v>
      </c>
      <c r="B231" s="48" t="s">
        <v>640</v>
      </c>
      <c r="C231" s="150" t="s">
        <v>641</v>
      </c>
      <c r="D231" s="151"/>
      <c r="E231" s="49" t="s">
        <v>79</v>
      </c>
      <c r="F231" s="49" t="s">
        <v>79</v>
      </c>
      <c r="G231" s="50" t="s">
        <v>79</v>
      </c>
      <c r="H231" s="28">
        <f>SUM(H232:H236)</f>
        <v>0</v>
      </c>
      <c r="J231" s="41"/>
      <c r="AI231" s="35" t="s">
        <v>4</v>
      </c>
      <c r="AS231" s="28">
        <f>SUM(AJ232:AJ236)</f>
        <v>0</v>
      </c>
      <c r="AT231" s="28">
        <f>SUM(AK232:AK236)</f>
        <v>0</v>
      </c>
      <c r="AU231" s="28">
        <f>SUM(AL232:AL236)</f>
        <v>0</v>
      </c>
    </row>
    <row r="232" spans="1:76">
      <c r="A232" s="1" t="s">
        <v>642</v>
      </c>
      <c r="B232" s="2" t="s">
        <v>643</v>
      </c>
      <c r="C232" s="75" t="s">
        <v>644</v>
      </c>
      <c r="D232" s="70"/>
      <c r="E232" s="2" t="s">
        <v>124</v>
      </c>
      <c r="F232" s="51">
        <v>135.626</v>
      </c>
      <c r="G232" s="52">
        <v>0</v>
      </c>
      <c r="H232" s="51">
        <f>ROUND(F232*G232,2)</f>
        <v>0</v>
      </c>
      <c r="J232" s="41"/>
      <c r="Z232" s="51">
        <f>ROUND(IF(AQ232="5",BJ232,0),2)</f>
        <v>0</v>
      </c>
      <c r="AB232" s="51">
        <f>ROUND(IF(AQ232="1",BH232,0),2)</f>
        <v>0</v>
      </c>
      <c r="AC232" s="51">
        <f>ROUND(IF(AQ232="1",BI232,0),2)</f>
        <v>0</v>
      </c>
      <c r="AD232" s="51">
        <f>ROUND(IF(AQ232="7",BH232,0),2)</f>
        <v>0</v>
      </c>
      <c r="AE232" s="51">
        <f>ROUND(IF(AQ232="7",BI232,0),2)</f>
        <v>0</v>
      </c>
      <c r="AF232" s="51">
        <f>ROUND(IF(AQ232="2",BH232,0),2)</f>
        <v>0</v>
      </c>
      <c r="AG232" s="51">
        <f>ROUND(IF(AQ232="2",BI232,0),2)</f>
        <v>0</v>
      </c>
      <c r="AH232" s="51">
        <f>ROUND(IF(AQ232="0",BJ232,0),2)</f>
        <v>0</v>
      </c>
      <c r="AI232" s="35" t="s">
        <v>4</v>
      </c>
      <c r="AJ232" s="51">
        <f>IF(AN232=0,H232,0)</f>
        <v>0</v>
      </c>
      <c r="AK232" s="51">
        <f>IF(AN232=12,H232,0)</f>
        <v>0</v>
      </c>
      <c r="AL232" s="51">
        <f>IF(AN232=21,H232,0)</f>
        <v>0</v>
      </c>
      <c r="AN232" s="51">
        <v>12</v>
      </c>
      <c r="AO232" s="51">
        <f>G232*0.002099398</f>
        <v>0</v>
      </c>
      <c r="AP232" s="51">
        <f>G232*(1-0.002099398)</f>
        <v>0</v>
      </c>
      <c r="AQ232" s="53" t="s">
        <v>148</v>
      </c>
      <c r="AV232" s="51">
        <f>ROUND(AW232+AX232,2)</f>
        <v>0</v>
      </c>
      <c r="AW232" s="51">
        <f>ROUND(F232*AO232,2)</f>
        <v>0</v>
      </c>
      <c r="AX232" s="51">
        <f>ROUND(F232*AP232,2)</f>
        <v>0</v>
      </c>
      <c r="AY232" s="53" t="s">
        <v>645</v>
      </c>
      <c r="AZ232" s="53" t="s">
        <v>609</v>
      </c>
      <c r="BA232" s="35" t="s">
        <v>117</v>
      </c>
      <c r="BC232" s="51">
        <f>AW232+AX232</f>
        <v>0</v>
      </c>
      <c r="BD232" s="51">
        <f>G232/(100-BE232)*100</f>
        <v>0</v>
      </c>
      <c r="BE232" s="51">
        <v>0</v>
      </c>
      <c r="BF232" s="51">
        <f>232</f>
        <v>232</v>
      </c>
      <c r="BH232" s="51">
        <f>F232*AO232</f>
        <v>0</v>
      </c>
      <c r="BI232" s="51">
        <f>F232*AP232</f>
        <v>0</v>
      </c>
      <c r="BJ232" s="51">
        <f>F232*G232</f>
        <v>0</v>
      </c>
      <c r="BK232" s="53" t="s">
        <v>118</v>
      </c>
      <c r="BL232" s="51">
        <v>784</v>
      </c>
      <c r="BW232" s="51">
        <v>12</v>
      </c>
      <c r="BX232" s="3" t="s">
        <v>644</v>
      </c>
    </row>
    <row r="233" spans="1:76">
      <c r="A233" s="54"/>
      <c r="C233" s="56" t="s">
        <v>646</v>
      </c>
      <c r="D233" s="57" t="s">
        <v>647</v>
      </c>
      <c r="F233" s="58">
        <v>38.83</v>
      </c>
      <c r="J233" s="41"/>
    </row>
    <row r="234" spans="1:76">
      <c r="A234" s="54"/>
      <c r="C234" s="56" t="s">
        <v>648</v>
      </c>
      <c r="D234" s="57" t="s">
        <v>649</v>
      </c>
      <c r="F234" s="58">
        <v>96.796000000000006</v>
      </c>
      <c r="J234" s="41"/>
    </row>
    <row r="235" spans="1:76">
      <c r="A235" s="1" t="s">
        <v>650</v>
      </c>
      <c r="B235" s="2" t="s">
        <v>651</v>
      </c>
      <c r="C235" s="75" t="s">
        <v>652</v>
      </c>
      <c r="D235" s="70"/>
      <c r="E235" s="2" t="s">
        <v>124</v>
      </c>
      <c r="F235" s="51">
        <v>143</v>
      </c>
      <c r="G235" s="52">
        <v>0</v>
      </c>
      <c r="H235" s="51">
        <f>ROUND(F235*G235,2)</f>
        <v>0</v>
      </c>
      <c r="J235" s="41"/>
      <c r="Z235" s="51">
        <f>ROUND(IF(AQ235="5",BJ235,0),2)</f>
        <v>0</v>
      </c>
      <c r="AB235" s="51">
        <f>ROUND(IF(AQ235="1",BH235,0),2)</f>
        <v>0</v>
      </c>
      <c r="AC235" s="51">
        <f>ROUND(IF(AQ235="1",BI235,0),2)</f>
        <v>0</v>
      </c>
      <c r="AD235" s="51">
        <f>ROUND(IF(AQ235="7",BH235,0),2)</f>
        <v>0</v>
      </c>
      <c r="AE235" s="51">
        <f>ROUND(IF(AQ235="7",BI235,0),2)</f>
        <v>0</v>
      </c>
      <c r="AF235" s="51">
        <f>ROUND(IF(AQ235="2",BH235,0),2)</f>
        <v>0</v>
      </c>
      <c r="AG235" s="51">
        <f>ROUND(IF(AQ235="2",BI235,0),2)</f>
        <v>0</v>
      </c>
      <c r="AH235" s="51">
        <f>ROUND(IF(AQ235="0",BJ235,0),2)</f>
        <v>0</v>
      </c>
      <c r="AI235" s="35" t="s">
        <v>4</v>
      </c>
      <c r="AJ235" s="51">
        <f>IF(AN235=0,H235,0)</f>
        <v>0</v>
      </c>
      <c r="AK235" s="51">
        <f>IF(AN235=12,H235,0)</f>
        <v>0</v>
      </c>
      <c r="AL235" s="51">
        <f>IF(AN235=21,H235,0)</f>
        <v>0</v>
      </c>
      <c r="AN235" s="51">
        <v>12</v>
      </c>
      <c r="AO235" s="51">
        <f>G235*0.233971131</f>
        <v>0</v>
      </c>
      <c r="AP235" s="51">
        <f>G235*(1-0.233971131)</f>
        <v>0</v>
      </c>
      <c r="AQ235" s="53" t="s">
        <v>148</v>
      </c>
      <c r="AV235" s="51">
        <f>ROUND(AW235+AX235,2)</f>
        <v>0</v>
      </c>
      <c r="AW235" s="51">
        <f>ROUND(F235*AO235,2)</f>
        <v>0</v>
      </c>
      <c r="AX235" s="51">
        <f>ROUND(F235*AP235,2)</f>
        <v>0</v>
      </c>
      <c r="AY235" s="53" t="s">
        <v>645</v>
      </c>
      <c r="AZ235" s="53" t="s">
        <v>609</v>
      </c>
      <c r="BA235" s="35" t="s">
        <v>117</v>
      </c>
      <c r="BC235" s="51">
        <f>AW235+AX235</f>
        <v>0</v>
      </c>
      <c r="BD235" s="51">
        <f>G235/(100-BE235)*100</f>
        <v>0</v>
      </c>
      <c r="BE235" s="51">
        <v>0</v>
      </c>
      <c r="BF235" s="51">
        <f>235</f>
        <v>235</v>
      </c>
      <c r="BH235" s="51">
        <f>F235*AO235</f>
        <v>0</v>
      </c>
      <c r="BI235" s="51">
        <f>F235*AP235</f>
        <v>0</v>
      </c>
      <c r="BJ235" s="51">
        <f>F235*G235</f>
        <v>0</v>
      </c>
      <c r="BK235" s="53" t="s">
        <v>118</v>
      </c>
      <c r="BL235" s="51">
        <v>784</v>
      </c>
      <c r="BW235" s="51">
        <v>12</v>
      </c>
      <c r="BX235" s="3" t="s">
        <v>652</v>
      </c>
    </row>
    <row r="236" spans="1:76">
      <c r="A236" s="1" t="s">
        <v>653</v>
      </c>
      <c r="B236" s="2" t="s">
        <v>654</v>
      </c>
      <c r="C236" s="75" t="s">
        <v>655</v>
      </c>
      <c r="D236" s="70"/>
      <c r="E236" s="2" t="s">
        <v>124</v>
      </c>
      <c r="F236" s="51">
        <v>143</v>
      </c>
      <c r="G236" s="52">
        <v>0</v>
      </c>
      <c r="H236" s="51">
        <f>ROUND(F236*G236,2)</f>
        <v>0</v>
      </c>
      <c r="J236" s="41"/>
      <c r="Z236" s="51">
        <f>ROUND(IF(AQ236="5",BJ236,0),2)</f>
        <v>0</v>
      </c>
      <c r="AB236" s="51">
        <f>ROUND(IF(AQ236="1",BH236,0),2)</f>
        <v>0</v>
      </c>
      <c r="AC236" s="51">
        <f>ROUND(IF(AQ236="1",BI236,0),2)</f>
        <v>0</v>
      </c>
      <c r="AD236" s="51">
        <f>ROUND(IF(AQ236="7",BH236,0),2)</f>
        <v>0</v>
      </c>
      <c r="AE236" s="51">
        <f>ROUND(IF(AQ236="7",BI236,0),2)</f>
        <v>0</v>
      </c>
      <c r="AF236" s="51">
        <f>ROUND(IF(AQ236="2",BH236,0),2)</f>
        <v>0</v>
      </c>
      <c r="AG236" s="51">
        <f>ROUND(IF(AQ236="2",BI236,0),2)</f>
        <v>0</v>
      </c>
      <c r="AH236" s="51">
        <f>ROUND(IF(AQ236="0",BJ236,0),2)</f>
        <v>0</v>
      </c>
      <c r="AI236" s="35" t="s">
        <v>4</v>
      </c>
      <c r="AJ236" s="51">
        <f>IF(AN236=0,H236,0)</f>
        <v>0</v>
      </c>
      <c r="AK236" s="51">
        <f>IF(AN236=12,H236,0)</f>
        <v>0</v>
      </c>
      <c r="AL236" s="51">
        <f>IF(AN236=21,H236,0)</f>
        <v>0</v>
      </c>
      <c r="AN236" s="51">
        <v>12</v>
      </c>
      <c r="AO236" s="51">
        <f>G236*0.207286015</f>
        <v>0</v>
      </c>
      <c r="AP236" s="51">
        <f>G236*(1-0.207286015)</f>
        <v>0</v>
      </c>
      <c r="AQ236" s="53" t="s">
        <v>148</v>
      </c>
      <c r="AV236" s="51">
        <f>ROUND(AW236+AX236,2)</f>
        <v>0</v>
      </c>
      <c r="AW236" s="51">
        <f>ROUND(F236*AO236,2)</f>
        <v>0</v>
      </c>
      <c r="AX236" s="51">
        <f>ROUND(F236*AP236,2)</f>
        <v>0</v>
      </c>
      <c r="AY236" s="53" t="s">
        <v>645</v>
      </c>
      <c r="AZ236" s="53" t="s">
        <v>609</v>
      </c>
      <c r="BA236" s="35" t="s">
        <v>117</v>
      </c>
      <c r="BC236" s="51">
        <f>AW236+AX236</f>
        <v>0</v>
      </c>
      <c r="BD236" s="51">
        <f>G236/(100-BE236)*100</f>
        <v>0</v>
      </c>
      <c r="BE236" s="51">
        <v>0</v>
      </c>
      <c r="BF236" s="51">
        <f>236</f>
        <v>236</v>
      </c>
      <c r="BH236" s="51">
        <f>F236*AO236</f>
        <v>0</v>
      </c>
      <c r="BI236" s="51">
        <f>F236*AP236</f>
        <v>0</v>
      </c>
      <c r="BJ236" s="51">
        <f>F236*G236</f>
        <v>0</v>
      </c>
      <c r="BK236" s="53" t="s">
        <v>118</v>
      </c>
      <c r="BL236" s="51">
        <v>784</v>
      </c>
      <c r="BW236" s="51">
        <v>12</v>
      </c>
      <c r="BX236" s="3" t="s">
        <v>655</v>
      </c>
    </row>
    <row r="237" spans="1:76">
      <c r="A237" s="54"/>
      <c r="C237" s="56" t="s">
        <v>656</v>
      </c>
      <c r="D237" s="57" t="s">
        <v>4</v>
      </c>
      <c r="F237" s="58">
        <v>143</v>
      </c>
      <c r="J237" s="41"/>
    </row>
    <row r="238" spans="1:76">
      <c r="A238" s="47" t="s">
        <v>4</v>
      </c>
      <c r="B238" s="48" t="s">
        <v>657</v>
      </c>
      <c r="C238" s="150" t="s">
        <v>658</v>
      </c>
      <c r="D238" s="151"/>
      <c r="E238" s="49" t="s">
        <v>79</v>
      </c>
      <c r="F238" s="49" t="s">
        <v>79</v>
      </c>
      <c r="G238" s="50" t="s">
        <v>79</v>
      </c>
      <c r="H238" s="28">
        <f>SUM(H239:H243)</f>
        <v>0</v>
      </c>
      <c r="J238" s="41"/>
      <c r="AI238" s="35" t="s">
        <v>4</v>
      </c>
      <c r="AS238" s="28">
        <f>SUM(AJ239:AJ243)</f>
        <v>0</v>
      </c>
      <c r="AT238" s="28">
        <f>SUM(AK239:AK243)</f>
        <v>0</v>
      </c>
      <c r="AU238" s="28">
        <f>SUM(AL239:AL243)</f>
        <v>0</v>
      </c>
    </row>
    <row r="239" spans="1:76">
      <c r="A239" s="1" t="s">
        <v>659</v>
      </c>
      <c r="B239" s="2" t="s">
        <v>660</v>
      </c>
      <c r="C239" s="75" t="s">
        <v>661</v>
      </c>
      <c r="D239" s="70"/>
      <c r="E239" s="2" t="s">
        <v>114</v>
      </c>
      <c r="F239" s="51">
        <v>1</v>
      </c>
      <c r="G239" s="52">
        <v>0</v>
      </c>
      <c r="H239" s="51">
        <f>ROUND(F239*G239,2)</f>
        <v>0</v>
      </c>
      <c r="J239" s="41"/>
      <c r="Z239" s="51">
        <f>ROUND(IF(AQ239="5",BJ239,0),2)</f>
        <v>0</v>
      </c>
      <c r="AB239" s="51">
        <f>ROUND(IF(AQ239="1",BH239,0),2)</f>
        <v>0</v>
      </c>
      <c r="AC239" s="51">
        <f>ROUND(IF(AQ239="1",BI239,0),2)</f>
        <v>0</v>
      </c>
      <c r="AD239" s="51">
        <f>ROUND(IF(AQ239="7",BH239,0),2)</f>
        <v>0</v>
      </c>
      <c r="AE239" s="51">
        <f>ROUND(IF(AQ239="7",BI239,0),2)</f>
        <v>0</v>
      </c>
      <c r="AF239" s="51">
        <f>ROUND(IF(AQ239="2",BH239,0),2)</f>
        <v>0</v>
      </c>
      <c r="AG239" s="51">
        <f>ROUND(IF(AQ239="2",BI239,0),2)</f>
        <v>0</v>
      </c>
      <c r="AH239" s="51">
        <f>ROUND(IF(AQ239="0",BJ239,0),2)</f>
        <v>0</v>
      </c>
      <c r="AI239" s="35" t="s">
        <v>4</v>
      </c>
      <c r="AJ239" s="51">
        <f>IF(AN239=0,H239,0)</f>
        <v>0</v>
      </c>
      <c r="AK239" s="51">
        <f>IF(AN239=12,H239,0)</f>
        <v>0</v>
      </c>
      <c r="AL239" s="51">
        <f>IF(AN239=21,H239,0)</f>
        <v>0</v>
      </c>
      <c r="AN239" s="51">
        <v>12</v>
      </c>
      <c r="AO239" s="51">
        <f>G239*0</f>
        <v>0</v>
      </c>
      <c r="AP239" s="51">
        <f>G239*(1-0)</f>
        <v>0</v>
      </c>
      <c r="AQ239" s="53" t="s">
        <v>121</v>
      </c>
      <c r="AV239" s="51">
        <f>ROUND(AW239+AX239,2)</f>
        <v>0</v>
      </c>
      <c r="AW239" s="51">
        <f>ROUND(F239*AO239,2)</f>
        <v>0</v>
      </c>
      <c r="AX239" s="51">
        <f>ROUND(F239*AP239,2)</f>
        <v>0</v>
      </c>
      <c r="AY239" s="53" t="s">
        <v>662</v>
      </c>
      <c r="AZ239" s="53" t="s">
        <v>239</v>
      </c>
      <c r="BA239" s="35" t="s">
        <v>117</v>
      </c>
      <c r="BC239" s="51">
        <f>AW239+AX239</f>
        <v>0</v>
      </c>
      <c r="BD239" s="51">
        <f>G239/(100-BE239)*100</f>
        <v>0</v>
      </c>
      <c r="BE239" s="51">
        <v>0</v>
      </c>
      <c r="BF239" s="51">
        <f>239</f>
        <v>239</v>
      </c>
      <c r="BH239" s="51">
        <f>F239*AO239</f>
        <v>0</v>
      </c>
      <c r="BI239" s="51">
        <f>F239*AP239</f>
        <v>0</v>
      </c>
      <c r="BJ239" s="51">
        <f>F239*G239</f>
        <v>0</v>
      </c>
      <c r="BK239" s="53" t="s">
        <v>118</v>
      </c>
      <c r="BL239" s="51"/>
      <c r="BW239" s="51">
        <v>12</v>
      </c>
      <c r="BX239" s="3" t="s">
        <v>661</v>
      </c>
    </row>
    <row r="240" spans="1:76">
      <c r="A240" s="1" t="s">
        <v>663</v>
      </c>
      <c r="B240" s="2" t="s">
        <v>664</v>
      </c>
      <c r="C240" s="75" t="s">
        <v>665</v>
      </c>
      <c r="D240" s="70"/>
      <c r="E240" s="2" t="s">
        <v>114</v>
      </c>
      <c r="F240" s="51">
        <v>1</v>
      </c>
      <c r="G240" s="52">
        <v>0</v>
      </c>
      <c r="H240" s="51">
        <f>ROUND(F240*G240,2)</f>
        <v>0</v>
      </c>
      <c r="J240" s="41"/>
      <c r="Z240" s="51">
        <f>ROUND(IF(AQ240="5",BJ240,0),2)</f>
        <v>0</v>
      </c>
      <c r="AB240" s="51">
        <f>ROUND(IF(AQ240="1",BH240,0),2)</f>
        <v>0</v>
      </c>
      <c r="AC240" s="51">
        <f>ROUND(IF(AQ240="1",BI240,0),2)</f>
        <v>0</v>
      </c>
      <c r="AD240" s="51">
        <f>ROUND(IF(AQ240="7",BH240,0),2)</f>
        <v>0</v>
      </c>
      <c r="AE240" s="51">
        <f>ROUND(IF(AQ240="7",BI240,0),2)</f>
        <v>0</v>
      </c>
      <c r="AF240" s="51">
        <f>ROUND(IF(AQ240="2",BH240,0),2)</f>
        <v>0</v>
      </c>
      <c r="AG240" s="51">
        <f>ROUND(IF(AQ240="2",BI240,0),2)</f>
        <v>0</v>
      </c>
      <c r="AH240" s="51">
        <f>ROUND(IF(AQ240="0",BJ240,0),2)</f>
        <v>0</v>
      </c>
      <c r="AI240" s="35" t="s">
        <v>4</v>
      </c>
      <c r="AJ240" s="51">
        <f>IF(AN240=0,H240,0)</f>
        <v>0</v>
      </c>
      <c r="AK240" s="51">
        <f>IF(AN240=12,H240,0)</f>
        <v>0</v>
      </c>
      <c r="AL240" s="51">
        <f>IF(AN240=21,H240,0)</f>
        <v>0</v>
      </c>
      <c r="AN240" s="51">
        <v>12</v>
      </c>
      <c r="AO240" s="51">
        <f>G240*0</f>
        <v>0</v>
      </c>
      <c r="AP240" s="51">
        <f>G240*(1-0)</f>
        <v>0</v>
      </c>
      <c r="AQ240" s="53" t="s">
        <v>121</v>
      </c>
      <c r="AV240" s="51">
        <f>ROUND(AW240+AX240,2)</f>
        <v>0</v>
      </c>
      <c r="AW240" s="51">
        <f>ROUND(F240*AO240,2)</f>
        <v>0</v>
      </c>
      <c r="AX240" s="51">
        <f>ROUND(F240*AP240,2)</f>
        <v>0</v>
      </c>
      <c r="AY240" s="53" t="s">
        <v>662</v>
      </c>
      <c r="AZ240" s="53" t="s">
        <v>239</v>
      </c>
      <c r="BA240" s="35" t="s">
        <v>117</v>
      </c>
      <c r="BC240" s="51">
        <f>AW240+AX240</f>
        <v>0</v>
      </c>
      <c r="BD240" s="51">
        <f>G240/(100-BE240)*100</f>
        <v>0</v>
      </c>
      <c r="BE240" s="51">
        <v>0</v>
      </c>
      <c r="BF240" s="51">
        <f>240</f>
        <v>240</v>
      </c>
      <c r="BH240" s="51">
        <f>F240*AO240</f>
        <v>0</v>
      </c>
      <c r="BI240" s="51">
        <f>F240*AP240</f>
        <v>0</v>
      </c>
      <c r="BJ240" s="51">
        <f>F240*G240</f>
        <v>0</v>
      </c>
      <c r="BK240" s="53" t="s">
        <v>118</v>
      </c>
      <c r="BL240" s="51"/>
      <c r="BW240" s="51">
        <v>12</v>
      </c>
      <c r="BX240" s="3" t="s">
        <v>665</v>
      </c>
    </row>
    <row r="241" spans="1:76">
      <c r="A241" s="1" t="s">
        <v>666</v>
      </c>
      <c r="B241" s="2" t="s">
        <v>667</v>
      </c>
      <c r="C241" s="75" t="s">
        <v>668</v>
      </c>
      <c r="D241" s="70"/>
      <c r="E241" s="2" t="s">
        <v>415</v>
      </c>
      <c r="F241" s="51">
        <v>1</v>
      </c>
      <c r="G241" s="52">
        <v>0</v>
      </c>
      <c r="H241" s="51">
        <f>ROUND(F241*G241,2)</f>
        <v>0</v>
      </c>
      <c r="J241" s="41"/>
      <c r="Z241" s="51">
        <f>ROUND(IF(AQ241="5",BJ241,0),2)</f>
        <v>0</v>
      </c>
      <c r="AB241" s="51">
        <f>ROUND(IF(AQ241="1",BH241,0),2)</f>
        <v>0</v>
      </c>
      <c r="AC241" s="51">
        <f>ROUND(IF(AQ241="1",BI241,0),2)</f>
        <v>0</v>
      </c>
      <c r="AD241" s="51">
        <f>ROUND(IF(AQ241="7",BH241,0),2)</f>
        <v>0</v>
      </c>
      <c r="AE241" s="51">
        <f>ROUND(IF(AQ241="7",BI241,0),2)</f>
        <v>0</v>
      </c>
      <c r="AF241" s="51">
        <f>ROUND(IF(AQ241="2",BH241,0),2)</f>
        <v>0</v>
      </c>
      <c r="AG241" s="51">
        <f>ROUND(IF(AQ241="2",BI241,0),2)</f>
        <v>0</v>
      </c>
      <c r="AH241" s="51">
        <f>ROUND(IF(AQ241="0",BJ241,0),2)</f>
        <v>0</v>
      </c>
      <c r="AI241" s="35" t="s">
        <v>4</v>
      </c>
      <c r="AJ241" s="51">
        <f>IF(AN241=0,H241,0)</f>
        <v>0</v>
      </c>
      <c r="AK241" s="51">
        <f>IF(AN241=12,H241,0)</f>
        <v>0</v>
      </c>
      <c r="AL241" s="51">
        <f>IF(AN241=21,H241,0)</f>
        <v>0</v>
      </c>
      <c r="AN241" s="51">
        <v>12</v>
      </c>
      <c r="AO241" s="51">
        <f>G241*0</f>
        <v>0</v>
      </c>
      <c r="AP241" s="51">
        <f>G241*(1-0)</f>
        <v>0</v>
      </c>
      <c r="AQ241" s="53" t="s">
        <v>121</v>
      </c>
      <c r="AV241" s="51">
        <f>ROUND(AW241+AX241,2)</f>
        <v>0</v>
      </c>
      <c r="AW241" s="51">
        <f>ROUND(F241*AO241,2)</f>
        <v>0</v>
      </c>
      <c r="AX241" s="51">
        <f>ROUND(F241*AP241,2)</f>
        <v>0</v>
      </c>
      <c r="AY241" s="53" t="s">
        <v>662</v>
      </c>
      <c r="AZ241" s="53" t="s">
        <v>239</v>
      </c>
      <c r="BA241" s="35" t="s">
        <v>117</v>
      </c>
      <c r="BC241" s="51">
        <f>AW241+AX241</f>
        <v>0</v>
      </c>
      <c r="BD241" s="51">
        <f>G241/(100-BE241)*100</f>
        <v>0</v>
      </c>
      <c r="BE241" s="51">
        <v>0</v>
      </c>
      <c r="BF241" s="51">
        <f>241</f>
        <v>241</v>
      </c>
      <c r="BH241" s="51">
        <f>F241*AO241</f>
        <v>0</v>
      </c>
      <c r="BI241" s="51">
        <f>F241*AP241</f>
        <v>0</v>
      </c>
      <c r="BJ241" s="51">
        <f>F241*G241</f>
        <v>0</v>
      </c>
      <c r="BK241" s="53" t="s">
        <v>118</v>
      </c>
      <c r="BL241" s="51"/>
      <c r="BW241" s="51">
        <v>12</v>
      </c>
      <c r="BX241" s="3" t="s">
        <v>668</v>
      </c>
    </row>
    <row r="242" spans="1:76">
      <c r="A242" s="1" t="s">
        <v>669</v>
      </c>
      <c r="B242" s="2" t="s">
        <v>670</v>
      </c>
      <c r="C242" s="75" t="s">
        <v>671</v>
      </c>
      <c r="D242" s="70"/>
      <c r="E242" s="2" t="s">
        <v>415</v>
      </c>
      <c r="F242" s="51">
        <v>1</v>
      </c>
      <c r="G242" s="52">
        <v>0</v>
      </c>
      <c r="H242" s="51">
        <f>ROUND(F242*G242,2)</f>
        <v>0</v>
      </c>
      <c r="J242" s="41"/>
      <c r="Z242" s="51">
        <f>ROUND(IF(AQ242="5",BJ242,0),2)</f>
        <v>0</v>
      </c>
      <c r="AB242" s="51">
        <f>ROUND(IF(AQ242="1",BH242,0),2)</f>
        <v>0</v>
      </c>
      <c r="AC242" s="51">
        <f>ROUND(IF(AQ242="1",BI242,0),2)</f>
        <v>0</v>
      </c>
      <c r="AD242" s="51">
        <f>ROUND(IF(AQ242="7",BH242,0),2)</f>
        <v>0</v>
      </c>
      <c r="AE242" s="51">
        <f>ROUND(IF(AQ242="7",BI242,0),2)</f>
        <v>0</v>
      </c>
      <c r="AF242" s="51">
        <f>ROUND(IF(AQ242="2",BH242,0),2)</f>
        <v>0</v>
      </c>
      <c r="AG242" s="51">
        <f>ROUND(IF(AQ242="2",BI242,0),2)</f>
        <v>0</v>
      </c>
      <c r="AH242" s="51">
        <f>ROUND(IF(AQ242="0",BJ242,0),2)</f>
        <v>0</v>
      </c>
      <c r="AI242" s="35" t="s">
        <v>4</v>
      </c>
      <c r="AJ242" s="51">
        <f>IF(AN242=0,H242,0)</f>
        <v>0</v>
      </c>
      <c r="AK242" s="51">
        <f>IF(AN242=12,H242,0)</f>
        <v>0</v>
      </c>
      <c r="AL242" s="51">
        <f>IF(AN242=21,H242,0)</f>
        <v>0</v>
      </c>
      <c r="AN242" s="51">
        <v>12</v>
      </c>
      <c r="AO242" s="51">
        <f>G242*0</f>
        <v>0</v>
      </c>
      <c r="AP242" s="51">
        <f>G242*(1-0)</f>
        <v>0</v>
      </c>
      <c r="AQ242" s="53" t="s">
        <v>121</v>
      </c>
      <c r="AV242" s="51">
        <f>ROUND(AW242+AX242,2)</f>
        <v>0</v>
      </c>
      <c r="AW242" s="51">
        <f>ROUND(F242*AO242,2)</f>
        <v>0</v>
      </c>
      <c r="AX242" s="51">
        <f>ROUND(F242*AP242,2)</f>
        <v>0</v>
      </c>
      <c r="AY242" s="53" t="s">
        <v>662</v>
      </c>
      <c r="AZ242" s="53" t="s">
        <v>239</v>
      </c>
      <c r="BA242" s="35" t="s">
        <v>117</v>
      </c>
      <c r="BC242" s="51">
        <f>AW242+AX242</f>
        <v>0</v>
      </c>
      <c r="BD242" s="51">
        <f>G242/(100-BE242)*100</f>
        <v>0</v>
      </c>
      <c r="BE242" s="51">
        <v>0</v>
      </c>
      <c r="BF242" s="51">
        <f>242</f>
        <v>242</v>
      </c>
      <c r="BH242" s="51">
        <f>F242*AO242</f>
        <v>0</v>
      </c>
      <c r="BI242" s="51">
        <f>F242*AP242</f>
        <v>0</v>
      </c>
      <c r="BJ242" s="51">
        <f>F242*G242</f>
        <v>0</v>
      </c>
      <c r="BK242" s="53" t="s">
        <v>118</v>
      </c>
      <c r="BL242" s="51"/>
      <c r="BW242" s="51">
        <v>12</v>
      </c>
      <c r="BX242" s="3" t="s">
        <v>671</v>
      </c>
    </row>
    <row r="243" spans="1:76">
      <c r="A243" s="1" t="s">
        <v>672</v>
      </c>
      <c r="B243" s="2" t="s">
        <v>673</v>
      </c>
      <c r="C243" s="75" t="s">
        <v>674</v>
      </c>
      <c r="D243" s="70"/>
      <c r="E243" s="2" t="s">
        <v>114</v>
      </c>
      <c r="F243" s="51">
        <v>1</v>
      </c>
      <c r="G243" s="52">
        <v>0</v>
      </c>
      <c r="H243" s="51">
        <f>ROUND(F243*G243,2)</f>
        <v>0</v>
      </c>
      <c r="J243" s="41"/>
      <c r="Z243" s="51">
        <f>ROUND(IF(AQ243="5",BJ243,0),2)</f>
        <v>0</v>
      </c>
      <c r="AB243" s="51">
        <f>ROUND(IF(AQ243="1",BH243,0),2)</f>
        <v>0</v>
      </c>
      <c r="AC243" s="51">
        <f>ROUND(IF(AQ243="1",BI243,0),2)</f>
        <v>0</v>
      </c>
      <c r="AD243" s="51">
        <f>ROUND(IF(AQ243="7",BH243,0),2)</f>
        <v>0</v>
      </c>
      <c r="AE243" s="51">
        <f>ROUND(IF(AQ243="7",BI243,0),2)</f>
        <v>0</v>
      </c>
      <c r="AF243" s="51">
        <f>ROUND(IF(AQ243="2",BH243,0),2)</f>
        <v>0</v>
      </c>
      <c r="AG243" s="51">
        <f>ROUND(IF(AQ243="2",BI243,0),2)</f>
        <v>0</v>
      </c>
      <c r="AH243" s="51">
        <f>ROUND(IF(AQ243="0",BJ243,0),2)</f>
        <v>0</v>
      </c>
      <c r="AI243" s="35" t="s">
        <v>4</v>
      </c>
      <c r="AJ243" s="51">
        <f>IF(AN243=0,H243,0)</f>
        <v>0</v>
      </c>
      <c r="AK243" s="51">
        <f>IF(AN243=12,H243,0)</f>
        <v>0</v>
      </c>
      <c r="AL243" s="51">
        <f>IF(AN243=21,H243,0)</f>
        <v>0</v>
      </c>
      <c r="AN243" s="51">
        <v>12</v>
      </c>
      <c r="AO243" s="51">
        <f>G243*0</f>
        <v>0</v>
      </c>
      <c r="AP243" s="51">
        <f>G243*(1-0)</f>
        <v>0</v>
      </c>
      <c r="AQ243" s="53" t="s">
        <v>121</v>
      </c>
      <c r="AV243" s="51">
        <f>ROUND(AW243+AX243,2)</f>
        <v>0</v>
      </c>
      <c r="AW243" s="51">
        <f>ROUND(F243*AO243,2)</f>
        <v>0</v>
      </c>
      <c r="AX243" s="51">
        <f>ROUND(F243*AP243,2)</f>
        <v>0</v>
      </c>
      <c r="AY243" s="53" t="s">
        <v>662</v>
      </c>
      <c r="AZ243" s="53" t="s">
        <v>239</v>
      </c>
      <c r="BA243" s="35" t="s">
        <v>117</v>
      </c>
      <c r="BC243" s="51">
        <f>AW243+AX243</f>
        <v>0</v>
      </c>
      <c r="BD243" s="51">
        <f>G243/(100-BE243)*100</f>
        <v>0</v>
      </c>
      <c r="BE243" s="51">
        <v>0</v>
      </c>
      <c r="BF243" s="51">
        <f>243</f>
        <v>243</v>
      </c>
      <c r="BH243" s="51">
        <f>F243*AO243</f>
        <v>0</v>
      </c>
      <c r="BI243" s="51">
        <f>F243*AP243</f>
        <v>0</v>
      </c>
      <c r="BJ243" s="51">
        <f>F243*G243</f>
        <v>0</v>
      </c>
      <c r="BK243" s="53" t="s">
        <v>118</v>
      </c>
      <c r="BL243" s="51"/>
      <c r="BW243" s="51">
        <v>12</v>
      </c>
      <c r="BX243" s="3" t="s">
        <v>674</v>
      </c>
    </row>
    <row r="244" spans="1:76">
      <c r="A244" s="47" t="s">
        <v>4</v>
      </c>
      <c r="B244" s="48" t="s">
        <v>675</v>
      </c>
      <c r="C244" s="150" t="s">
        <v>57</v>
      </c>
      <c r="D244" s="151"/>
      <c r="E244" s="49" t="s">
        <v>79</v>
      </c>
      <c r="F244" s="49" t="s">
        <v>79</v>
      </c>
      <c r="G244" s="50" t="s">
        <v>79</v>
      </c>
      <c r="H244" s="28">
        <f>H245+H247</f>
        <v>0</v>
      </c>
      <c r="J244" s="41"/>
      <c r="AI244" s="35" t="s">
        <v>4</v>
      </c>
    </row>
    <row r="245" spans="1:76">
      <c r="A245" s="47" t="s">
        <v>4</v>
      </c>
      <c r="B245" s="48" t="s">
        <v>676</v>
      </c>
      <c r="C245" s="150" t="s">
        <v>25</v>
      </c>
      <c r="D245" s="151"/>
      <c r="E245" s="49" t="s">
        <v>79</v>
      </c>
      <c r="F245" s="49" t="s">
        <v>79</v>
      </c>
      <c r="G245" s="50" t="s">
        <v>79</v>
      </c>
      <c r="H245" s="28">
        <f>SUM(H246:H246)</f>
        <v>0</v>
      </c>
      <c r="J245" s="41"/>
      <c r="AI245" s="35" t="s">
        <v>4</v>
      </c>
      <c r="AS245" s="28">
        <f>SUM(AJ246:AJ246)</f>
        <v>0</v>
      </c>
      <c r="AT245" s="28">
        <f>SUM(AK246:AK246)</f>
        <v>0</v>
      </c>
      <c r="AU245" s="28">
        <f>SUM(AL246:AL246)</f>
        <v>0</v>
      </c>
    </row>
    <row r="246" spans="1:76">
      <c r="A246" s="1" t="s">
        <v>677</v>
      </c>
      <c r="B246" s="2" t="s">
        <v>678</v>
      </c>
      <c r="C246" s="75" t="s">
        <v>25</v>
      </c>
      <c r="D246" s="70"/>
      <c r="E246" s="2" t="s">
        <v>679</v>
      </c>
      <c r="F246" s="51">
        <v>1</v>
      </c>
      <c r="G246" s="52">
        <v>0</v>
      </c>
      <c r="H246" s="51">
        <f>ROUND(F246*G246,2)</f>
        <v>0</v>
      </c>
      <c r="J246" s="41"/>
      <c r="Z246" s="51">
        <f>ROUND(IF(AQ246="5",BJ246,0),2)</f>
        <v>0</v>
      </c>
      <c r="AB246" s="51">
        <f>ROUND(IF(AQ246="1",BH246,0),2)</f>
        <v>0</v>
      </c>
      <c r="AC246" s="51">
        <f>ROUND(IF(AQ246="1",BI246,0),2)</f>
        <v>0</v>
      </c>
      <c r="AD246" s="51">
        <f>ROUND(IF(AQ246="7",BH246,0),2)</f>
        <v>0</v>
      </c>
      <c r="AE246" s="51">
        <f>ROUND(IF(AQ246="7",BI246,0),2)</f>
        <v>0</v>
      </c>
      <c r="AF246" s="51">
        <f>ROUND(IF(AQ246="2",BH246,0),2)</f>
        <v>0</v>
      </c>
      <c r="AG246" s="51">
        <f>ROUND(IF(AQ246="2",BI246,0),2)</f>
        <v>0</v>
      </c>
      <c r="AH246" s="51">
        <f>ROUND(IF(AQ246="0",BJ246,0),2)</f>
        <v>0</v>
      </c>
      <c r="AI246" s="35" t="s">
        <v>4</v>
      </c>
      <c r="AJ246" s="51">
        <f>IF(AN246=0,H246,0)</f>
        <v>0</v>
      </c>
      <c r="AK246" s="51">
        <f>IF(AN246=12,H246,0)</f>
        <v>0</v>
      </c>
      <c r="AL246" s="51">
        <f>IF(AN246=21,H246,0)</f>
        <v>0</v>
      </c>
      <c r="AN246" s="51">
        <v>12</v>
      </c>
      <c r="AO246" s="51">
        <f>G246*0</f>
        <v>0</v>
      </c>
      <c r="AP246" s="51">
        <f>G246*(1-0)</f>
        <v>0</v>
      </c>
      <c r="AQ246" s="53" t="s">
        <v>309</v>
      </c>
      <c r="AV246" s="51">
        <f>ROUND(AW246+AX246,2)</f>
        <v>0</v>
      </c>
      <c r="AW246" s="51">
        <f>ROUND(F246*AO246,2)</f>
        <v>0</v>
      </c>
      <c r="AX246" s="51">
        <f>ROUND(F246*AP246,2)</f>
        <v>0</v>
      </c>
      <c r="AY246" s="53" t="s">
        <v>680</v>
      </c>
      <c r="AZ246" s="53" t="s">
        <v>681</v>
      </c>
      <c r="BA246" s="35" t="s">
        <v>117</v>
      </c>
      <c r="BC246" s="51">
        <f>AW246+AX246</f>
        <v>0</v>
      </c>
      <c r="BD246" s="51">
        <f>G246/(100-BE246)*100</f>
        <v>0</v>
      </c>
      <c r="BE246" s="51">
        <v>0</v>
      </c>
      <c r="BF246" s="51">
        <f>246</f>
        <v>246</v>
      </c>
      <c r="BH246" s="51">
        <f>F246*AO246</f>
        <v>0</v>
      </c>
      <c r="BI246" s="51">
        <f>F246*AP246</f>
        <v>0</v>
      </c>
      <c r="BJ246" s="51">
        <f>F246*G246</f>
        <v>0</v>
      </c>
      <c r="BK246" s="53" t="s">
        <v>118</v>
      </c>
      <c r="BL246" s="51"/>
      <c r="BO246" s="51">
        <f>F246*G246</f>
        <v>0</v>
      </c>
      <c r="BW246" s="51">
        <v>12</v>
      </c>
      <c r="BX246" s="3" t="s">
        <v>25</v>
      </c>
    </row>
    <row r="247" spans="1:76">
      <c r="A247" s="47" t="s">
        <v>4</v>
      </c>
      <c r="B247" s="48" t="s">
        <v>682</v>
      </c>
      <c r="C247" s="150" t="s">
        <v>31</v>
      </c>
      <c r="D247" s="151"/>
      <c r="E247" s="49" t="s">
        <v>79</v>
      </c>
      <c r="F247" s="49" t="s">
        <v>79</v>
      </c>
      <c r="G247" s="50" t="s">
        <v>79</v>
      </c>
      <c r="H247" s="28">
        <f>SUM(H248:H248)</f>
        <v>0</v>
      </c>
      <c r="J247" s="41"/>
      <c r="AI247" s="35" t="s">
        <v>4</v>
      </c>
      <c r="AS247" s="28">
        <f>SUM(AJ248:AJ248)</f>
        <v>0</v>
      </c>
      <c r="AT247" s="28">
        <f>SUM(AK248:AK248)</f>
        <v>0</v>
      </c>
      <c r="AU247" s="28">
        <f>SUM(AL248:AL248)</f>
        <v>0</v>
      </c>
    </row>
    <row r="248" spans="1:76">
      <c r="A248" s="4" t="s">
        <v>683</v>
      </c>
      <c r="B248" s="5" t="s">
        <v>684</v>
      </c>
      <c r="C248" s="156" t="s">
        <v>685</v>
      </c>
      <c r="D248" s="73"/>
      <c r="E248" s="5" t="s">
        <v>679</v>
      </c>
      <c r="F248" s="59">
        <v>1</v>
      </c>
      <c r="G248" s="60">
        <v>0</v>
      </c>
      <c r="H248" s="59">
        <f>ROUND(F248*G248,2)</f>
        <v>0</v>
      </c>
      <c r="I248" s="61"/>
      <c r="J248" s="62"/>
      <c r="Z248" s="51">
        <f>ROUND(IF(AQ248="5",BJ248,0),2)</f>
        <v>0</v>
      </c>
      <c r="AB248" s="51">
        <f>ROUND(IF(AQ248="1",BH248,0),2)</f>
        <v>0</v>
      </c>
      <c r="AC248" s="51">
        <f>ROUND(IF(AQ248="1",BI248,0),2)</f>
        <v>0</v>
      </c>
      <c r="AD248" s="51">
        <f>ROUND(IF(AQ248="7",BH248,0),2)</f>
        <v>0</v>
      </c>
      <c r="AE248" s="51">
        <f>ROUND(IF(AQ248="7",BI248,0),2)</f>
        <v>0</v>
      </c>
      <c r="AF248" s="51">
        <f>ROUND(IF(AQ248="2",BH248,0),2)</f>
        <v>0</v>
      </c>
      <c r="AG248" s="51">
        <f>ROUND(IF(AQ248="2",BI248,0),2)</f>
        <v>0</v>
      </c>
      <c r="AH248" s="51">
        <f>ROUND(IF(AQ248="0",BJ248,0),2)</f>
        <v>0</v>
      </c>
      <c r="AI248" s="35" t="s">
        <v>4</v>
      </c>
      <c r="AJ248" s="51">
        <f>IF(AN248=0,H248,0)</f>
        <v>0</v>
      </c>
      <c r="AK248" s="51">
        <f>IF(AN248=12,H248,0)</f>
        <v>0</v>
      </c>
      <c r="AL248" s="51">
        <f>IF(AN248=21,H248,0)</f>
        <v>0</v>
      </c>
      <c r="AN248" s="51">
        <v>12</v>
      </c>
      <c r="AO248" s="51">
        <f>G248*0</f>
        <v>0</v>
      </c>
      <c r="AP248" s="51">
        <f>G248*(1-0)</f>
        <v>0</v>
      </c>
      <c r="AQ248" s="53" t="s">
        <v>309</v>
      </c>
      <c r="AV248" s="51">
        <f>ROUND(AW248+AX248,2)</f>
        <v>0</v>
      </c>
      <c r="AW248" s="51">
        <f>ROUND(F248*AO248,2)</f>
        <v>0</v>
      </c>
      <c r="AX248" s="51">
        <f>ROUND(F248*AP248,2)</f>
        <v>0</v>
      </c>
      <c r="AY248" s="53" t="s">
        <v>686</v>
      </c>
      <c r="AZ248" s="53" t="s">
        <v>681</v>
      </c>
      <c r="BA248" s="35" t="s">
        <v>117</v>
      </c>
      <c r="BC248" s="51">
        <f>AW248+AX248</f>
        <v>0</v>
      </c>
      <c r="BD248" s="51">
        <f>G248/(100-BE248)*100</f>
        <v>0</v>
      </c>
      <c r="BE248" s="51">
        <v>0</v>
      </c>
      <c r="BF248" s="51">
        <f>248</f>
        <v>248</v>
      </c>
      <c r="BH248" s="51">
        <f>F248*AO248</f>
        <v>0</v>
      </c>
      <c r="BI248" s="51">
        <f>F248*AP248</f>
        <v>0</v>
      </c>
      <c r="BJ248" s="51">
        <f>F248*G248</f>
        <v>0</v>
      </c>
      <c r="BK248" s="53" t="s">
        <v>118</v>
      </c>
      <c r="BL248" s="51"/>
      <c r="BR248" s="51">
        <f>F248*G248</f>
        <v>0</v>
      </c>
      <c r="BW248" s="51">
        <v>12</v>
      </c>
      <c r="BX248" s="3" t="s">
        <v>685</v>
      </c>
    </row>
    <row r="249" spans="1:76">
      <c r="H249" s="63">
        <f>ROUND(H13+H27+H66+H74+H83+H104+H106+H118+H129+H141+H160+H164+H166+H183+H196+H211+H215+H226+H231+H238+H245+H247,2)</f>
        <v>0</v>
      </c>
    </row>
    <row r="250" spans="1:76">
      <c r="A250" s="64" t="s">
        <v>56</v>
      </c>
    </row>
    <row r="251" spans="1:76" ht="12.75" customHeight="1">
      <c r="A251" s="75" t="s">
        <v>4</v>
      </c>
      <c r="B251" s="70"/>
      <c r="C251" s="70"/>
      <c r="D251" s="70"/>
      <c r="E251" s="70"/>
      <c r="F251" s="70"/>
      <c r="G251" s="70"/>
      <c r="H251" s="70"/>
      <c r="I251" s="70"/>
      <c r="J251" s="70"/>
    </row>
  </sheetData>
  <sheetProtection password="CF7A" sheet="1"/>
  <mergeCells count="201">
    <mergeCell ref="C245:D245"/>
    <mergeCell ref="C246:D246"/>
    <mergeCell ref="C247:D247"/>
    <mergeCell ref="C248:D248"/>
    <mergeCell ref="A251:J251"/>
    <mergeCell ref="C240:D240"/>
    <mergeCell ref="C241:D241"/>
    <mergeCell ref="C242:D242"/>
    <mergeCell ref="C243:D243"/>
    <mergeCell ref="C244:D244"/>
    <mergeCell ref="C232:D232"/>
    <mergeCell ref="C235:D235"/>
    <mergeCell ref="C236:D236"/>
    <mergeCell ref="C238:D238"/>
    <mergeCell ref="C239:D239"/>
    <mergeCell ref="C227:D227"/>
    <mergeCell ref="C228:J228"/>
    <mergeCell ref="C229:D229"/>
    <mergeCell ref="C230:D230"/>
    <mergeCell ref="C231:D231"/>
    <mergeCell ref="C220:D220"/>
    <mergeCell ref="C222:D222"/>
    <mergeCell ref="C223:D223"/>
    <mergeCell ref="C225:D225"/>
    <mergeCell ref="C226:D226"/>
    <mergeCell ref="C212:D212"/>
    <mergeCell ref="C213:D213"/>
    <mergeCell ref="C214:D214"/>
    <mergeCell ref="C215:D215"/>
    <mergeCell ref="C216:D216"/>
    <mergeCell ref="C206:D206"/>
    <mergeCell ref="C207:D207"/>
    <mergeCell ref="C208:D208"/>
    <mergeCell ref="C210:D210"/>
    <mergeCell ref="C211:D211"/>
    <mergeCell ref="C196:D196"/>
    <mergeCell ref="C197:D197"/>
    <mergeCell ref="C202:D202"/>
    <mergeCell ref="C204:D204"/>
    <mergeCell ref="C205:J205"/>
    <mergeCell ref="C185:D185"/>
    <mergeCell ref="C188:D188"/>
    <mergeCell ref="C192:D192"/>
    <mergeCell ref="C193:D193"/>
    <mergeCell ref="C195:D195"/>
    <mergeCell ref="C180:D180"/>
    <mergeCell ref="C181:D181"/>
    <mergeCell ref="C182:D182"/>
    <mergeCell ref="C183:D183"/>
    <mergeCell ref="C184:D184"/>
    <mergeCell ref="C175:D175"/>
    <mergeCell ref="C176:D176"/>
    <mergeCell ref="C177:D177"/>
    <mergeCell ref="C178:D178"/>
    <mergeCell ref="C179:D179"/>
    <mergeCell ref="C170:D170"/>
    <mergeCell ref="C171:D171"/>
    <mergeCell ref="C172:D172"/>
    <mergeCell ref="C173:D173"/>
    <mergeCell ref="C174:D174"/>
    <mergeCell ref="C164:D164"/>
    <mergeCell ref="C165:D165"/>
    <mergeCell ref="C166:D166"/>
    <mergeCell ref="C167:D167"/>
    <mergeCell ref="C169:D169"/>
    <mergeCell ref="C159:D159"/>
    <mergeCell ref="C160:D160"/>
    <mergeCell ref="C161:D161"/>
    <mergeCell ref="C162:D162"/>
    <mergeCell ref="C163:D163"/>
    <mergeCell ref="C154:D154"/>
    <mergeCell ref="C155:D155"/>
    <mergeCell ref="C156:D156"/>
    <mergeCell ref="C157:D157"/>
    <mergeCell ref="C158:D158"/>
    <mergeCell ref="C149:J149"/>
    <mergeCell ref="C150:D150"/>
    <mergeCell ref="C151:D151"/>
    <mergeCell ref="C152:D152"/>
    <mergeCell ref="C153:D153"/>
    <mergeCell ref="C144:D144"/>
    <mergeCell ref="C145:D145"/>
    <mergeCell ref="C146:D146"/>
    <mergeCell ref="C147:D147"/>
    <mergeCell ref="C148:D148"/>
    <mergeCell ref="C139:D139"/>
    <mergeCell ref="C140:D140"/>
    <mergeCell ref="C141:D141"/>
    <mergeCell ref="C142:D142"/>
    <mergeCell ref="C143:D143"/>
    <mergeCell ref="C134:D134"/>
    <mergeCell ref="C135:D135"/>
    <mergeCell ref="C136:J136"/>
    <mergeCell ref="C137:D137"/>
    <mergeCell ref="C138:D138"/>
    <mergeCell ref="C129:D129"/>
    <mergeCell ref="C130:D130"/>
    <mergeCell ref="C131:D131"/>
    <mergeCell ref="C132:D132"/>
    <mergeCell ref="C133:D133"/>
    <mergeCell ref="C124:D124"/>
    <mergeCell ref="C125:D125"/>
    <mergeCell ref="C126:D126"/>
    <mergeCell ref="C127:D127"/>
    <mergeCell ref="C128:D128"/>
    <mergeCell ref="C119:D119"/>
    <mergeCell ref="C120:D120"/>
    <mergeCell ref="C121:D121"/>
    <mergeCell ref="C122:D122"/>
    <mergeCell ref="C123:D123"/>
    <mergeCell ref="C109:J109"/>
    <mergeCell ref="C113:D113"/>
    <mergeCell ref="C114:J114"/>
    <mergeCell ref="C117:D117"/>
    <mergeCell ref="C118:D118"/>
    <mergeCell ref="C104:D104"/>
    <mergeCell ref="C105:D105"/>
    <mergeCell ref="C106:D106"/>
    <mergeCell ref="C107:D107"/>
    <mergeCell ref="C108:D108"/>
    <mergeCell ref="C94:D94"/>
    <mergeCell ref="C96:D96"/>
    <mergeCell ref="C97:D97"/>
    <mergeCell ref="C99:D99"/>
    <mergeCell ref="C101:D101"/>
    <mergeCell ref="C88:D88"/>
    <mergeCell ref="C89:D89"/>
    <mergeCell ref="C91:D91"/>
    <mergeCell ref="C92:D92"/>
    <mergeCell ref="C93:D93"/>
    <mergeCell ref="C82:D82"/>
    <mergeCell ref="C83:D83"/>
    <mergeCell ref="C84:D84"/>
    <mergeCell ref="C85:D85"/>
    <mergeCell ref="C86:D86"/>
    <mergeCell ref="C75:D75"/>
    <mergeCell ref="C76:J76"/>
    <mergeCell ref="C77:D77"/>
    <mergeCell ref="C78:D78"/>
    <mergeCell ref="C80:D80"/>
    <mergeCell ref="C67:D67"/>
    <mergeCell ref="C70:D70"/>
    <mergeCell ref="C71:J71"/>
    <mergeCell ref="C73:D73"/>
    <mergeCell ref="C74:D74"/>
    <mergeCell ref="C61:D61"/>
    <mergeCell ref="C62:J62"/>
    <mergeCell ref="C64:D64"/>
    <mergeCell ref="C65:J65"/>
    <mergeCell ref="C66:D66"/>
    <mergeCell ref="C47:J47"/>
    <mergeCell ref="C55:D55"/>
    <mergeCell ref="C57:D57"/>
    <mergeCell ref="C59:D59"/>
    <mergeCell ref="C60:J60"/>
    <mergeCell ref="C33:D33"/>
    <mergeCell ref="C34:D34"/>
    <mergeCell ref="C42:D42"/>
    <mergeCell ref="C44:D44"/>
    <mergeCell ref="C46:D46"/>
    <mergeCell ref="C25:D25"/>
    <mergeCell ref="C27:D27"/>
    <mergeCell ref="C28:D28"/>
    <mergeCell ref="C30:D30"/>
    <mergeCell ref="C32:D32"/>
    <mergeCell ref="C16:D16"/>
    <mergeCell ref="C18:D18"/>
    <mergeCell ref="C21:D21"/>
    <mergeCell ref="C22:J22"/>
    <mergeCell ref="C23:D23"/>
    <mergeCell ref="C11:D11"/>
    <mergeCell ref="C12:D12"/>
    <mergeCell ref="C13:D13"/>
    <mergeCell ref="C14:D14"/>
    <mergeCell ref="C15:J15"/>
    <mergeCell ref="I2:J3"/>
    <mergeCell ref="I4:J5"/>
    <mergeCell ref="I6:J7"/>
    <mergeCell ref="I8:J9"/>
    <mergeCell ref="C10:D10"/>
    <mergeCell ref="C8:D9"/>
    <mergeCell ref="G2:G3"/>
    <mergeCell ref="G4:G5"/>
    <mergeCell ref="G6:G7"/>
    <mergeCell ref="G8:G9"/>
    <mergeCell ref="A1:J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Franta</cp:lastModifiedBy>
  <dcterms:created xsi:type="dcterms:W3CDTF">2021-06-10T20:06:38Z</dcterms:created>
  <dcterms:modified xsi:type="dcterms:W3CDTF">2025-10-10T07:28:35Z</dcterms:modified>
</cp:coreProperties>
</file>